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0B8nh6rTNs3knL/NqjA/EYioAcp+aq6oL4/wEWDtMHMGsrw0+nnfvq1To2V9wMPlAPaElOpkexLjpxG6QsDMEw==" workbookSaltValue="mTuQrAcpEcAvSSpMjU9wWw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AC298" i="83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45" i="83" l="1"/>
  <c r="AO161" i="83"/>
  <c r="AP245" i="83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<sst xmlns="http://schemas.openxmlformats.org/spreadsheetml/2006/main" count="65845" uniqueCount="758">
  <si>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</si>
  <si>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</si>
  <si>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</si>
  <si>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</si>
  <si>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</si>
  <si>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</si>
  <si>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</si>
  <si>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</si>
  <si>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</si>
  <si>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</si>
  <si>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</si>
  <si>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</si>
  <si>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</si>
  <si>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</si>
  <si>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</si>
  <si>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</si>
  <si>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</si>
  <si>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</si>
  <si>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</si>
  <si>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</si>
  <si>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</si>
  <si>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</si>
  <si>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</si>
  <si>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</si>
  <si>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</si>
  <si>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</si>
  <si>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</si>
  <si>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</si>
  <si>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</si>
  <si>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</si>
  <si>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</si>
  <si>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</si>
  <si>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</si>
  <si>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</si>
  <si>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</si>
  <si>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</si>
  <si>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</si>
  <si>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</si>
  <si>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</si>
  <si>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</si>
  <si>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</si>
  <si>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</si>
  <si>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</si>
  <si>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</si>
  <si>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</si>
  <si>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</si>
  <si>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</si>
  <si>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</si>
  <si>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</si>
  <si>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</si>
  <si>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</si>
  <si>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</si>
  <si>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</si>
  <si>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</si>
  <si>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</si>
  <si>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</si>
  <si>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</si>
  <si>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</si>
  <si>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</si>
  <si>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</si>
  <si>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</si>
  <si>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</si>
  <si>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</si>
  <si>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</si>
  <si>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</si>
  <si>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</si>
  <si>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</si>
  <si>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</si>
  <si>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</si>
  <si>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</si>
  <si>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</si>
  <si>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</si>
  <si>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</si>
  <si>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</si>
  <si>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</si>
  <si>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</si>
  <si>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</si>
  <si>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</si>
  <si>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</si>
  <si>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</si>
  <si>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</si>
  <si>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</si>
  <si>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</si>
  <si>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</si>
  <si>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</si>
  <si>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</si>
  <si>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</si>
  <si>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</si>
  <si>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</si>
  <si>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</si>
  <si>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</si>
  <si>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</si>
  <si>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</si>
  <si>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</si>
  <si>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</si>
  <si>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</si>
  <si>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</si>
  <si>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</si>
  <si>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</si>
  <si>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</si>
  <si>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</si>
  <si>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</si>
  <si>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</si>
  <si>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</si>
  <si>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</si>
  <si>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</si>
  <si>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</si>
  <si>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</si>
  <si>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</si>
  <si>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</si>
  <si>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</si>
  <si>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</si>
  <si>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</si>
  <si>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</si>
  <si>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</si>
  <si>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</si>
  <si>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</si>
  <si>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</si>
  <si>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</si>
  <si>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</si>
  <si>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</si>
  <si>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</si>
  <si>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</si>
  <si>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</si>
  <si>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</si>
  <si>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</si>
  <si>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</si>
  <si>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</si>
  <si>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</si>
  <si>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</si>
  <si>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</si>
  <si>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</si>
  <si>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</si>
  <si>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</si>
  <si>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</si>
  <si>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</si>
  <si>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</si>
  <si>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</si>
  <si>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</si>
  <si>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</si>
  <si>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</si>
  <si>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</si>
  <si>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</si>
  <si>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</si>
  <si>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</si>
  <si>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</si>
  <si>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</si>
  <si>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</si>
  <si>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</si>
  <si>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</si>
  <si>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</si>
  <si>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</si>
  <si>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</si>
  <si>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</si>
  <si>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</si>
  <si>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</si>
  <si>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</si>
  <si>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</si>
  <si>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</si>
  <si>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</si>
  <si>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</si>
  <si>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</si>
  <si>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</si>
  <si>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</si>
  <si>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</si>
  <si>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</si>
  <si>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</si>
  <si>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</si>
  <si>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</si>
  <si>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</si>
  <si>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</si>
  <si>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</si>
  <si>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</si>
  <si>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</si>
  <si>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</si>
  <si>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</si>
  <si>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</si>
  <si>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</si>
  <si>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</si>
  <si>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</si>
  <si>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</si>
  <si>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</si>
  <si>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</si>
  <si>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</si>
  <si>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</si>
  <si>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</si>
  <si>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</si>
  <si>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</si>
  <si>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</si>
  <si>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</si>
  <si>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</si>
  <si>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</si>
  <si>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</si>
  <si>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</si>
  <si>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</si>
  <si>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</si>
  <si>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</si>
  <si>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</si>
  <si>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</si>
  <si>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</si>
  <si>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</si>
  <si>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</si>
  <si>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</si>
  <si>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</si>
  <si>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</si>
  <si>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</si>
  <si>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</si>
  <si>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</si>
  <si>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</si>
  <si>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</si>
  <si>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</si>
  <si>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</si>
  <si>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</si>
  <si>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</si>
  <si>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</si>
  <si>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</si>
  <si>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</si>
  <si>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</si>
  <si>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</si>
  <si>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</si>
  <si>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</si>
  <si>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</si>
  <si>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</si>
  <si>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</si>
  <si>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</si>
  <si>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</si>
  <si>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</si>
  <si>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</si>
  <si>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</si>
  <si>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</si>
  <si>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</si>
  <si>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</si>
  <si>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</si>
  <si>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</si>
  <si>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</si>
  <si>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</si>
  <si>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</si>
  <si>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</si>
  <si>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</si>
  <si>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</si>
  <si>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</si>
  <si>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</si>
  <si>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</si>
  <si>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</si>
  <si>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</si>
  <si>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</si>
  <si>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</si>
  <si>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</si>
  <si>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</si>
  <si>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</si>
  <si>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</si>
  <si>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</si>
  <si>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</si>
  <si>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</si>
  <si>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</si>
  <si>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</si>
  <si>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</si>
  <si>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</si>
  <si>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</si>
  <si>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</si>
  <si>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</si>
  <si>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</si>
  <si>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</si>
  <si>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</si>
  <si>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</si>
  <si>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</si>
  <si>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</si>
  <si>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</si>
  <si>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</si>
  <si>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</si>
  <si>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</si>
  <si>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</si>
  <si>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</si>
  <si>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</si>
  <si>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</si>
  <si>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</si>
  <si>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</si>
  <si>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</si>
  <si>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</si>
  <si>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</si>
  <si>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</si>
  <si>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</si>
  <si>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</si>
  <si>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</si>
  <si>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</si>
  <si>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</si>
  <si>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</si>
  <si>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</si>
  <si>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</si>
  <si>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</si>
  <si>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</si>
  <si>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</si>
  <si>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</si>
  <si>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</si>
  <si>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</si>
  <si>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</si>
  <si>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</si>
  <si>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</si>
  <si>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</si>
  <si>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</si>
  <si>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</si>
  <si>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</si>
  <si>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</si>
  <si>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</si>
  <si>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</si>
  <si>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</si>
  <si>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</si>
  <si>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</si>
  <si>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</si>
  <si>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</si>
  <si>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</si>
  <si>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</si>
  <si>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</si>
  <si>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</si>
  <si>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</si>
  <si>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</si>
  <si>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</si>
  <si>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</si>
  <si>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</si>
  <si>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</si>
  <si>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</si>
  <si>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</si>
  <si>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</si>
  <si>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</si>
  <si>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</si>
  <si>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</si>
  <si>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</si>
  <si>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</si>
  <si>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</si>
  <si>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</si>
  <si>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</si>
  <si>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</si>
  <si>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</si>
  <si>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</si>
  <si>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</si>
  <si>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</si>
  <si>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</si>
  <si>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</si>
  <si>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</si>
  <si>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</si>
  <si>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</si>
  <si>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</si>
  <si>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</si>
  <si>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</si>
  <si>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</si>
  <si>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</si>
  <si>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</si>
  <si>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</si>
  <si>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</si>
  <si>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</si>
  <si>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</si>
  <si>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</si>
  <si>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</si>
  <si>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</si>
  <si>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</si>
  <si>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</si>
  <si>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</si>
  <si>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</si>
  <si>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</si>
  <si>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</si>
  <si>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</si>
  <si>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</si>
  <si>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</si>
  <si>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</si>
  <si>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</si>
  <si>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</si>
  <si>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</si>
  <si>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</si>
  <si>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</si>
  <si>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</si>
  <si>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</si>
  <si>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</si>
  <si>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</si>
  <si>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</si>
  <si>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</si>
  <si>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</si>
  <si>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</si>
  <si>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</si>
  <si>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</si>
  <si>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</si>
  <si>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</si>
  <si>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</si>
  <si>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</si>
  <si>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</si>
  <si>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</si>
  <si>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</si>
  <si>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</si>
  <si>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</si>
  <si>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</si>
  <si>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</si>
  <si>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</si>
  <si>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</si>
  <si>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</si>
  <si>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</si>
  <si>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</si>
  <si>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</si>
  <si>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</si>
  <si>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</si>
  <si>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</si>
  <si>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</si>
  <si>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</si>
  <si>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</si>
  <si>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</si>
  <si>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</si>
  <si>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</si>
  <si>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</si>
  <si>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</si>
  <si>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</si>
  <si>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</si>
  <si>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</si>
  <si>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</si>
  <si>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</si>
  <si>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</si>
  <si>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</si>
  <si>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</si>
  <si>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</si>
  <si>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</si>
  <si>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</si>
  <si>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</si>
  <si>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</si>
  <si>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</si>
  <si>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</si>
  <si>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</si>
  <si>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</si>
  <si>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</si>
  <si>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</si>
  <si>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</si>
  <si>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</si>
  <si>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</si>
  <si>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</si>
  <si>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</si>
  <si>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</si>
  <si>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</si>
  <si>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</si>
  <si>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</si>
  <si>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</si>
  <si>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</si>
  <si>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</si>
  <si>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</si>
  <si>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</si>
  <si>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</si>
  <si>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</si>
  <si>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</si>
  <si>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</si>
  <si>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</si>
  <si>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</si>
  <si>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</si>
  <si>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</si>
  <si>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</si>
  <si>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</si>
  <si>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</si>
  <si>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</si>
  <si>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</si>
  <si>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</si>
  <si>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</si>
  <si>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</si>
  <si>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</si>
  <si>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</si>
  <si>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</si>
  <si>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</si>
  <si>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</si>
  <si>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</si>
  <si>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</si>
  <si>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</si>
  <si>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</si>
  <si>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</si>
  <si>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</si>
  <si>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</si>
  <si>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</si>
  <si>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</si>
  <si>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</si>
  <si>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</si>
  <si>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</si>
  <si>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</si>
  <si>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</si>
  <si>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</si>
  <si>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</si>
  <si>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</si>
  <si>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</si>
  <si>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</si>
  <si>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</si>
  <si>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</si>
  <si>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</si>
  <si>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</si>
  <si>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</si>
  <si>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</si>
  <si>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</si>
  <si>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</si>
  <si>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</si>
  <si>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</si>
  <si>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</si>
  <si>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</si>
  <si>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</si>
  <si>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</si>
  <si>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</si>
  <si>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</si>
  <si>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</si>
  <si>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</si>
  <si>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</si>
  <si>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</si>
  <si>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</si>
  <si>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</si>
  <si>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</si>
  <si>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</si>
  <si>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</si>
  <si>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</si>
  <si>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</si>
  <si>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</si>
  <si>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</si>
  <si>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</si>
  <si>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</si>
  <si>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</si>
  <si>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</si>
  <si>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</si>
  <si>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</si>
  <si>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</si>
  <si>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</si>
  <si>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</si>
  <si>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</si>
  <si>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</si>
  <si>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</si>
  <si>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</si>
  <si>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</si>
  <si>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</si>
  <si>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</si>
  <si>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</si>
  <si>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</si>
  <si>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</si>
  <si>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</si>
  <si>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</si>
  <si>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</si>
  <si>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</si>
  <si>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</si>
  <si>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</si>
  <si>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</si>
  <si>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</si>
  <si>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</si>
  <si>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</si>
  <si>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</si>
  <si>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</si>
  <si>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</si>
  <si>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</si>
  <si>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</si>
  <si>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</si>
  <si>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</si>
  <si>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</si>
  <si>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</si>
  <si>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</si>
  <si>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</si>
  <si>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</si>
  <si>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</si>
  <si>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</si>
  <si>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</si>
  <si>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</si>
  <si>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</si>
  <si>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</si>
  <si>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</si>
  <si>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</si>
  <si>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</si>
  <si>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</si>
  <si>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</si>
  <si>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</si>
  <si>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</si>
  <si>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</si>
  <si>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</si>
  <si>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</si>
  <si>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</si>
  <si>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</si>
  <si>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</si>
  <si>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</si>
  <si>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</si>
  <si>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</si>
  <si>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</si>
  <si>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</si>
  <si>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</si>
  <si>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</si>
  <si>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</si>
  <si>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</si>
  <si>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</si>
  <si>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</si>
  <si>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</si>
  <si>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</si>
  <si>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</si>
  <si>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</si>
  <si>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</si>
  <si>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</si>
  <si>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</si>
  <si>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</si>
  <si>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</si>
  <si>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</si>
  <si>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</si>
  <si>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</si>
  <si>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</si>
  <si>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</si>
  <si>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</si>
  <si>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</si>
  <si>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</si>
  <si>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</si>
  <si>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</si>
  <si>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</si>
  <si>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</si>
  <si>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</si>
  <si>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</si>
  <si>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</si>
  <si>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</si>
  <si>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</si>
  <si>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</si>
  <si>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</si>
  <si>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</si>
  <si>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</si>
  <si>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</si>
  <si>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</si>
  <si>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</si>
  <si>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</si>
  <si>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</si>
  <si>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</si>
  <si>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</si>
  <si>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</si>
  <si>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</si>
  <si>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</si>
  <si>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</si>
  <si>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</si>
  <si>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</si>
  <si>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</si>
  <si>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</si>
  <si>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</si>
  <si>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</si>
  <si>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</si>
  <si>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</si>
  <si>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</si>
  <si>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</si>
  <si>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</si>
  <si>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</si>
  <si>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</si>
  <si>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</si>
  <si>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</si>
  <si>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</si>
  <si>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</si>
  <si>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</si>
  <si>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</si>
  <si>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</si>
  <si>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</si>
  <si>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</si>
  <si>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</si>
  <si>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</si>
  <si>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</si>
  <si>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</si>
  <si>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</si>
  <si>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</si>
  <si>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</si>
  <si>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</si>
  <si>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</si>
  <si>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</si>
  <si>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</si>
  <si>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</si>
  <si>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</si>
  <si>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</si>
  <si>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</si>
  <si>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</si>
  <si>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</si>
  <si>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</si>
  <si>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</si>
  <si>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</si>
  <si>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</si>
  <si>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</si>
  <si>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</si>
  <si>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</si>
  <si>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</si>
  <si>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</si>
  <si>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</si>
  <si>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</si>
  <si>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</si>
  <si>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</si>
  <si>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</si>
  <si>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</si>
  <si>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</si>
  <si>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</si>
  <si>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</si>
  <si>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</si>
  <si>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</si>
  <si>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</si>
  <si>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</si>
  <si>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</si>
  <si>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</si>
  <si>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</si>
  <si>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</si>
  <si>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</si>
  <si>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</si>
  <si>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</si>
  <si>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</si>
  <si>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</si>
  <si>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</si>
  <si>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</si>
  <si>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</si>
  <si>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</si>
  <si>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</si>
  <si>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</si>
  <si>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</si>
  <si>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</si>
  <si>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</si>
  <si>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</si>
  <si>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</si>
  <si>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</si>
  <si>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</si>
  <si>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</si>
  <si>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</si>
  <si>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</si>
  <si>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</si>
  <si>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</si>
  <si>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</si>
  <si>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</si>
  <si>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</si>
  <si>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</si>
  <si>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</si>
  <si>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</si>
  <si>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</si>
  <si>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</si>
  <si>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</si>
  <si>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</si>
  <si>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</si>
  <si>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</si>
  <si>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</si>
  <si>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</si>
  <si>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</si>
  <si>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</si>
  <si>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</si>
  <si>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</si>
  <si>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</si>
  <si>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</si>
  <si>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</si>
  <si>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</si>
  <si>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</si>
  <si>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</si>
  <si>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</si>
  <si>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</si>
  <si>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</si>
  <si>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</si>
  <si>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</si>
  <si>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</si>
  <si>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</si>
  <si>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</si>
  <si>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</si>
  <si>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</si>
  <si>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</si>
  <si>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</si>
  <si>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</si>
  <si>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</si>
  <si>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</si>
  <si>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</si>
  <si>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</si>
  <si>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</si>
  <si>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</si>
  <si>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</si>
  <si>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</si>
  <si>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</si>
  <si>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Minister</t>
  </si>
  <si>
    <t>INTERNS</t>
  </si>
  <si>
    <t>Deputy Minister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</si>
</sst>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37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0.3087832309439662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2.3282145543911934E-3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1.2064182361710992E-4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3.6883126572560473E-2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0.65188478610546496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1.4998190372645742E-2</v>
      </c>
      <c r="AB3">
        <f>SUMIFS(PERSALDATA!$G$2:$G$20871,PERSALDATA!$A$2:$A$20871,WORKING!A3,PERSALDATA!$D$2:$D$20871,WORKING!B3,PERSALDATA!$E$2:$E$20871,WORKING!C3,PERSALDATA!$F$2:$F$20871,"S&amp;W: BASIC SALARY (RES)")</f>
        <v>11</v>
      </c>
      <c r="AC3" s="2">
        <f>SUMIFS(PERSALDATA!$H$2:$H$20871,PERSALDATA!$A$2:$A$20871,WORKING!A3,PERSALDATA!$D$2:$D$20871,WORKING!B3,PERSALDATA!$E$2:$E$20871,WORKING!C3)</f>
        <v>1448088.1900000002</v>
      </c>
    </row>
    <row r="4" spans="1:29" x14ac:dyDescent="0.25">
      <c r="A4" s="2">
        <f>Results!$D$3</f>
        <v>37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0.63043745223609005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3.8776588772474543E-2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6.9240092379618368E-2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9.8967172041267856E-2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6.0267431223175127E-2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4.0073908755201101E-2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5.0832485598103529E-4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6.1729029736192008E-2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7.2123293387726772E-2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7.079210665682284E-2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6.9792106656822839E-2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6.7792106656822837E-2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1.2469266160846993E-2</v>
      </c>
      <c r="AB4" s="2">
        <f>SUMIFS(PERSALDATA!$G$2:$G$20871,PERSALDATA!$A$2:$A$20871,WORKING!A4,PERSALDATA!$D$2:$D$20871,WORKING!B4,PERSALDATA!$E$2:$E$20871,WORKING!C4,PERSALDATA!$F$2:$F$20871,"S&amp;W: BASIC SALARY (RES)")</f>
        <v>4</v>
      </c>
      <c r="AC4" s="2">
        <f>SUMIFS(PERSALDATA!$H$2:$H$20871,PERSALDATA!$A$2:$A$20871,WORKING!A4,PERSALDATA!$D$2:$D$20871,WORKING!B4,PERSALDATA!$E$2:$E$20871,WORKING!C4)</f>
        <v>584921.23</v>
      </c>
    </row>
    <row r="5" spans="1:29" x14ac:dyDescent="0.25">
      <c r="A5" s="2">
        <f>Results!$D$3</f>
        <v>37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0.68364229769287332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3.6572899809360557E-2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3.1040227326719096E-2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0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6.2862838465508927E-2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5.7119390083061237E-2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3.7900202607642722E-2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4.873882635086254E-4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9.0374755751325364E-2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7.4521022461686459E-2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7.0632540303715449E-2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6.9632540303715434E-2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6.7632540303715433E-2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1.3584143189163948E-2</v>
      </c>
      <c r="AB5" s="2">
        <f>SUMIFS(PERSALDATA!$G$2:$G$20871,PERSALDATA!$A$2:$A$20871,WORKING!A5,PERSALDATA!$D$2:$D$20871,WORKING!B5,PERSALDATA!$E$2:$E$20871,WORKING!C5,PERSALDATA!$F$2:$F$20871,"S&amp;W: BASIC SALARY (RES)")</f>
        <v>4</v>
      </c>
      <c r="AC5" s="2">
        <f>SUMIFS(PERSALDATA!$H$2:$H$20871,PERSALDATA!$A$2:$A$20871,WORKING!A5,PERSALDATA!$D$2:$D$20871,WORKING!B5,PERSALDATA!$E$2:$E$20871,WORKING!C5)</f>
        <v>705536.07000000007</v>
      </c>
    </row>
    <row r="6" spans="1:29" x14ac:dyDescent="0.25">
      <c r="A6" s="2">
        <f>Results!$D$3</f>
        <v>37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37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0.6718185316500872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4.1361560153283433E-2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3.9426751372555247E-2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1.4260103052247938E-2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4.6870599829370807E-2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6.4868103290797854E-2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2.3217438633845226E-2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3.4179020201494982E-4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6.4652953814703248E-2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2.8246322160658886E-2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4.93584584043522E-3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7.3659755293296991E-2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7.0308791483715008E-2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6.9308791483715021E-2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6.7308791483715019E-2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1.3700412878940886E-2</v>
      </c>
      <c r="AB7" s="2">
        <f>SUMIFS(PERSALDATA!$G$2:$G$20871,PERSALDATA!$A$2:$A$20871,WORKING!A7,PERSALDATA!$D$2:$D$20871,WORKING!B7,PERSALDATA!$E$2:$E$20871,WORKING!C7,PERSALDATA!$F$2:$F$20871,"S&amp;W: BASIC SALARY (RES)")</f>
        <v>17</v>
      </c>
      <c r="AC7" s="2">
        <f>SUMIFS(PERSALDATA!$H$2:$H$20871,PERSALDATA!$A$2:$A$20871,WORKING!A7,PERSALDATA!$D$2:$D$20871,WORKING!B7,PERSALDATA!$E$2:$E$20871,WORKING!C7)</f>
        <v>3599079.1799999997</v>
      </c>
    </row>
    <row r="8" spans="1:29" x14ac:dyDescent="0.25">
      <c r="A8" s="2">
        <f>Results!$D$3</f>
        <v>37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0.65927316864609564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5.4942871107193085E-2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4.5037789332454309E-2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1.6858295092983561E-2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6.7966194268352487E-2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8.5704673720690974E-2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4.009839489238775E-2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2.6257031180820865E-4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2.61521014720076E-2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3.7039411560264739E-3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7.3528654730490403E-2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7.0569115020700748E-2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6.9569115020700747E-2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6.7569115020700746E-2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1.3301001691310776E-2</v>
      </c>
      <c r="AB8" s="2">
        <f>SUMIFS(PERSALDATA!$G$2:$G$20871,PERSALDATA!$A$2:$A$20871,WORKING!A8,PERSALDATA!$D$2:$D$20871,WORKING!B8,PERSALDATA!$E$2:$E$20871,WORKING!C8,PERSALDATA!$F$2:$F$20871,"S&amp;W: BASIC SALARY (RES)")</f>
        <v>9</v>
      </c>
      <c r="AC8" s="2">
        <f>SUMIFS(PERSALDATA!$H$2:$H$20871,PERSALDATA!$A$2:$A$20871,WORKING!A8,PERSALDATA!$D$2:$D$20871,WORKING!B8,PERSALDATA!$E$2:$E$20871,WORKING!C8)</f>
        <v>2397986.2599999998</v>
      </c>
    </row>
    <row r="9" spans="1:29" x14ac:dyDescent="0.25">
      <c r="A9" s="2">
        <f>Results!$D$3</f>
        <v>37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0.70386347561002771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5.4178120876939462E-2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3.5392004968746581E-2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2.0816970926374679E-2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4.2545402631685075E-2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8.4173134117936685E-2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2.2035249312943379E-2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2.3293266488758023E-4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2.098242736892553E-2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1.4941338932442344E-2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8.3894258909102517E-4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7.3905843259218854E-2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7.0284260989787808E-2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6.9284260989787821E-2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6.728426098978782E-2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1.3827444896020212E-2</v>
      </c>
      <c r="AB9" s="2">
        <f>SUMIFS(PERSALDATA!$G$2:$G$20871,PERSALDATA!$A$2:$A$20871,WORKING!A9,PERSALDATA!$D$2:$D$20871,WORKING!B9,PERSALDATA!$E$2:$E$20871,WORKING!C9,PERSALDATA!$F$2:$F$20871,"S&amp;W: BASIC SALARY (RES)")</f>
        <v>36</v>
      </c>
      <c r="AC9" s="2">
        <f>SUMIFS(PERSALDATA!$H$2:$H$20871,PERSALDATA!$A$2:$A$20871,WORKING!A9,PERSALDATA!$D$2:$D$20871,WORKING!B9,PERSALDATA!$E$2:$E$20871,WORKING!C9)</f>
        <v>10587136.85</v>
      </c>
    </row>
    <row r="10" spans="1:29" x14ac:dyDescent="0.25">
      <c r="A10" s="2">
        <f>Results!$D$3</f>
        <v>37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0.67866131720570666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5.5241587273398569E-2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3.2477659094613608E-2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2.0463078435125275E-2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5.3949299678798343E-2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8.7941982566529617E-2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3.1561224725444016E-2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1.8445907960239866E-4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3.4145786232639584E-3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3.6104813317517637E-2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7.4286988104312543E-2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7.0484462904235851E-2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6.9484462904235836E-2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6.7484462904235862E-2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1.3700828732204785E-2</v>
      </c>
      <c r="AB10" s="2">
        <f>SUMIFS(PERSALDATA!$G$2:$G$20871,PERSALDATA!$A$2:$A$20871,WORKING!A10,PERSALDATA!$D$2:$D$20871,WORKING!B10,PERSALDATA!$E$2:$E$20871,WORKING!C10,PERSALDATA!$F$2:$F$20871,"S&amp;W: BASIC SALARY (RES)")</f>
        <v>14</v>
      </c>
      <c r="AC10" s="2">
        <f>SUMIFS(PERSALDATA!$H$2:$H$20871,PERSALDATA!$A$2:$A$20871,WORKING!A10,PERSALDATA!$D$2:$D$20871,WORKING!B10,PERSALDATA!$E$2:$E$20871,WORKING!C10)</f>
        <v>5847096.29</v>
      </c>
    </row>
    <row r="11" spans="1:29" x14ac:dyDescent="0.25">
      <c r="A11" s="2">
        <f>Results!$D$3</f>
        <v>37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0.71481177753816838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4.9875737502173459E-2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2.4830768314100703E-2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1.239596542265297E-2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3.3170915173896379E-2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8.2784424871138212E-2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1.7475031549924004E-2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1.6303546549721024E-4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2.8563902904319392E-2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3.3956161382435887E-2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1.972279875693434E-3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7.45772544205629E-2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7.0249256044467454E-2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6.9249256044467439E-2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6.7249256044467437E-2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1.4127529215697586E-2</v>
      </c>
      <c r="AB11" s="2">
        <f>SUMIFS(PERSALDATA!$G$2:$G$20871,PERSALDATA!$A$2:$A$20871,WORKING!A11,PERSALDATA!$D$2:$D$20871,WORKING!B11,PERSALDATA!$E$2:$E$20871,WORKING!C11,PERSALDATA!$F$2:$F$20871,"S&amp;W: BASIC SALARY (RES)")</f>
        <v>31</v>
      </c>
      <c r="AC11" s="2">
        <f>SUMIFS(PERSALDATA!$H$2:$H$20871,PERSALDATA!$A$2:$A$20871,WORKING!A11,PERSALDATA!$D$2:$D$20871,WORKING!B11,PERSALDATA!$E$2:$E$20871,WORKING!C11)</f>
        <v>11550186.299999999</v>
      </c>
    </row>
    <row r="12" spans="1:29" x14ac:dyDescent="0.25">
      <c r="A12" s="2">
        <f>Results!$D$3</f>
        <v>37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0.74686176583785091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4.8631041536600604E-2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1.7258481022567759E-2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5.2964456095859879E-3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4.1906611506201182E-2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8.087040470458591E-2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1.4942752095640992E-2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1.3807565744797311E-4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4.3108319800111483E-2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9.8610222940710679E-4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7.5275048003371661E-2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7.0456014362367342E-2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6.9456014362367355E-2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6.7456014362367325E-2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1.4110452477206744E-2</v>
      </c>
      <c r="AB12" s="2">
        <f>SUMIFS(PERSALDATA!$G$2:$G$20871,PERSALDATA!$A$2:$A$20871,WORKING!A12,PERSALDATA!$D$2:$D$20871,WORKING!B12,PERSALDATA!$E$2:$E$20871,WORKING!C12,PERSALDATA!$F$2:$F$20871,"S&amp;W: BASIC SALARY (RES)")</f>
        <v>7</v>
      </c>
      <c r="AC12" s="2">
        <f>SUMIFS(PERSALDATA!$H$2:$H$20871,PERSALDATA!$A$2:$A$20871,WORKING!A12,PERSALDATA!$D$2:$D$20871,WORKING!B12,PERSALDATA!$E$2:$E$20871,WORKING!C12)</f>
        <v>3841589.5300000003</v>
      </c>
    </row>
    <row r="13" spans="1:29" x14ac:dyDescent="0.25">
      <c r="A13" s="2">
        <f>Results!$D$3</f>
        <v>37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0.68563940439790105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4.8926167553050931E-2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1.547814965653712E-2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7.6748544147328063E-3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2.2110024052792207E-2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8.3152904801418501E-2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8.482625360481489E-3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1.0464464464003906E-4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0.10058587320023464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2.7845351918211071E-2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1.4434607724690457E-2</v>
      </c>
      <c r="AB13" s="2">
        <f>SUMIFS(PERSALDATA!$G$2:$G$20871,PERSALDATA!$A$2:$A$20871,WORKING!A13,PERSALDATA!$D$2:$D$20871,WORKING!B13,PERSALDATA!$E$2:$E$20871,WORKING!C13,PERSALDATA!$F$2:$F$20871,"S&amp;W: BASIC SALARY (RES)")</f>
        <v>17</v>
      </c>
      <c r="AC13" s="2">
        <f>SUMIFS(PERSALDATA!$H$2:$H$20871,PERSALDATA!$A$2:$A$20871,WORKING!A13,PERSALDATA!$D$2:$D$20871,WORKING!B13,PERSALDATA!$E$2:$E$20871,WORKING!C13)</f>
        <v>11475790.32</v>
      </c>
    </row>
    <row r="14" spans="1:29" x14ac:dyDescent="0.25">
      <c r="A14" s="2">
        <f>Results!$D$3</f>
        <v>37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0.70916804098233066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4.91998345303718E-2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1.262352647026033E-2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2.469612520851839E-3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1.5773488886051901E-2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8.6333174203354401E-2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2.4697908072092569E-2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9.0643499051933709E-5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8.1462294633008386E-2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1.8181476202626265E-2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1.4572685117169538E-2</v>
      </c>
      <c r="AB14" s="2">
        <f>SUMIFS(PERSALDATA!$G$2:$G$20871,PERSALDATA!$A$2:$A$20871,WORKING!A14,PERSALDATA!$D$2:$D$20871,WORKING!B14,PERSALDATA!$E$2:$E$20871,WORKING!C14,PERSALDATA!$F$2:$F$20871,"S&amp;W: BASIC SALARY (RES)")</f>
        <v>17</v>
      </c>
      <c r="AC14" s="2">
        <f>SUMIFS(PERSALDATA!$H$2:$H$20871,PERSALDATA!$A$2:$A$20871,WORKING!A14,PERSALDATA!$D$2:$D$20871,WORKING!B14,PERSALDATA!$E$2:$E$20871,WORKING!C14)</f>
        <v>12670627.369999997</v>
      </c>
    </row>
    <row r="15" spans="1:29" x14ac:dyDescent="0.25">
      <c r="A15" s="2">
        <f>Results!$D$3</f>
        <v>37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0.63314146006126415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3.3252452972270391E-2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5.0827213941326263E-2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1.2182706538774304E-2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6.8604206254956154E-2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7.3876344283235298E-5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0.18742280146500601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1.4495282422119501E-2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1.4053743047634243E-2</v>
      </c>
      <c r="AB15" s="2">
        <f>SUMIFS(PERSALDATA!$G$2:$G$20871,PERSALDATA!$A$2:$A$20871,WORKING!A15,PERSALDATA!$D$2:$D$20871,WORKING!B15,PERSALDATA!$E$2:$E$20871,WORKING!C15,PERSALDATA!$F$2:$F$20871,"S&amp;W: BASIC SALARY (RES)")</f>
        <v>11</v>
      </c>
      <c r="AC15" s="2">
        <f>SUMIFS(PERSALDATA!$H$2:$H$20871,PERSALDATA!$A$2:$A$20871,WORKING!A15,PERSALDATA!$D$2:$D$20871,WORKING!B15,PERSALDATA!$E$2:$E$20871,WORKING!C15)</f>
        <v>10101203.67</v>
      </c>
    </row>
    <row r="16" spans="1:29" x14ac:dyDescent="0.25">
      <c r="A16" s="2">
        <f>Results!$D$3</f>
        <v>37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0.60293228082812844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3.5556686460720154E-2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7.6042788551779665E-3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7.9900195612888723E-3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5.8635060294168734E-2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5.9933713564092515E-5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0.23990901650310462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4.7312723783847259E-2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1.4765186518049539E-2</v>
      </c>
      <c r="AB16" s="2">
        <f>SUMIFS(PERSALDATA!$G$2:$G$20871,PERSALDATA!$A$2:$A$20871,WORKING!A16,PERSALDATA!$D$2:$D$20871,WORKING!B16,PERSALDATA!$E$2:$E$20871,WORKING!C16,PERSALDATA!$F$2:$F$20871,"S&amp;W: BASIC SALARY (RES)")</f>
        <v>8</v>
      </c>
      <c r="AC16" s="2">
        <f>SUMIFS(PERSALDATA!$H$2:$H$20871,PERSALDATA!$A$2:$A$20871,WORKING!A16,PERSALDATA!$D$2:$D$20871,WORKING!B16,PERSALDATA!$E$2:$E$20871,WORKING!C16)</f>
        <v>10505606.319999998</v>
      </c>
    </row>
    <row r="17" spans="1:29" x14ac:dyDescent="0.25">
      <c r="A17" s="2">
        <f>Results!$D$3</f>
        <v>37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0.67666076163767486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2.1857309025962123E-2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5.5008212857129007E-2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5.759303512706892E-5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0.24411715794513505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2.298965498972043E-3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1.4999136104473097E-2</v>
      </c>
      <c r="AB17" s="2">
        <f>SUMIFS(PERSALDATA!$G$2:$G$20871,PERSALDATA!$A$2:$A$20871,WORKING!A17,PERSALDATA!$D$2:$D$20871,WORKING!B17,PERSALDATA!$E$2:$E$20871,WORKING!C17,PERSALDATA!$F$2:$F$20871,"S&amp;W: BASIC SALARY (RES)")</f>
        <v>3</v>
      </c>
      <c r="AC17" s="2">
        <f>SUMIFS(PERSALDATA!$H$2:$H$20871,PERSALDATA!$A$2:$A$20871,WORKING!A17,PERSALDATA!$D$2:$D$20871,WORKING!B17,PERSALDATA!$E$2:$E$20871,WORKING!C17)</f>
        <v>3542963.1299999994</v>
      </c>
    </row>
    <row r="18" spans="1:29" x14ac:dyDescent="0.25">
      <c r="A18" s="2">
        <f>Results!$D$3</f>
        <v>37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0.60634135753890783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1.4307324830742521E-2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1.2569016926744711E-3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0.1044630622088884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8.5704524775346978E-6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0.27362278327630923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1.498101791782272E-2</v>
      </c>
      <c r="AB18" s="2">
        <f>SUMIFS(PERSALDATA!$G$2:$G$20871,PERSALDATA!$A$2:$A$20871,WORKING!A18,PERSALDATA!$D$2:$D$20871,WORKING!B18,PERSALDATA!$E$2:$E$20871,WORKING!C18,PERSALDATA!$F$2:$F$20871,"S&amp;W: BASIC SALARY (RES)")</f>
        <v>2</v>
      </c>
      <c r="AC18" s="2">
        <f>SUMIFS(PERSALDATA!$H$2:$H$20871,PERSALDATA!$A$2:$A$20871,WORKING!A18,PERSALDATA!$D$2:$D$20871,WORKING!B18,PERSALDATA!$E$2:$E$20871,WORKING!C18)</f>
        <v>5441953.0499999998</v>
      </c>
    </row>
    <row r="19" spans="1:29" x14ac:dyDescent="0.25">
      <c r="A19" s="2">
        <f>Results!$D$3</f>
        <v>37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37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7.7735400806200061E-2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1.3653047191174367E-3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0.92089929447468255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5</v>
      </c>
      <c r="AC20" s="2">
        <f>SUMIFS(PERSALDATA!$H$2:$H$20871,PERSALDATA!$A$2:$A$20871,WORKING!A20,PERSALDATA!$D$2:$D$20871,WORKING!B20,PERSALDATA!$E$2:$E$20871,WORKING!C20)</f>
        <v>2057189.1099999999</v>
      </c>
    </row>
    <row r="21" spans="1:29" x14ac:dyDescent="0.25">
      <c r="A21" s="2">
        <f>Results!$D$3</f>
        <v>37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37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37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37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0.71599013564436764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0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0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2.200025747706176E-2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0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0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0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3.704264053750671E-4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0.26163918047319551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7.5999999999999998E-2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7.0000000000000007E-2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6.9000000000000006E-2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6.7000000000000004E-2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1.4994443603919374E-2</v>
      </c>
      <c r="AB24" s="2">
        <f>SUMIFS(PERSALDATA!$G$2:$G$20871,PERSALDATA!$A$2:$A$20871,WORKING!A24,PERSALDATA!$D$2:$D$20871,WORKING!B24,PERSALDATA!$E$2:$E$20871,WORKING!C24,PERSALDATA!$F$2:$F$20871,"S&amp;W: BASIC SALARY (RES)")</f>
        <v>5</v>
      </c>
      <c r="AC24" s="2">
        <f>SUMIFS(PERSALDATA!$H$2:$H$20871,PERSALDATA!$A$2:$A$20871,WORKING!A24,PERSALDATA!$D$2:$D$20871,WORKING!B24,PERSALDATA!$E$2:$E$20871,WORKING!C24)</f>
        <v>944317.13</v>
      </c>
    </row>
    <row r="25" spans="1:29" x14ac:dyDescent="0.25">
      <c r="A25" s="2">
        <f>Results!$D$3</f>
        <v>37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37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0.7322406239227025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5.9932695968765416E-2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4.4476021954704591E-2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6.2042166049611439E-3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6.0743692357798237E-2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9.4663602718260575E-2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0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2.3927429739737215E-4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1.4998721754103485E-3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7.3470234024451617E-2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7.0466395165819942E-2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6.9466395165819955E-2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6.746639516581994E-2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1.3418115170851497E-2</v>
      </c>
      <c r="AB26" s="2">
        <f>SUMIFS(PERSALDATA!$G$2:$G$20871,PERSALDATA!$A$2:$A$20871,WORKING!A26,PERSALDATA!$D$2:$D$20871,WORKING!B26,PERSALDATA!$E$2:$E$20871,WORKING!C26,PERSALDATA!$F$2:$F$20871,"S&amp;W: BASIC SALARY (RES)")</f>
        <v>9</v>
      </c>
      <c r="AC26" s="2">
        <f>SUMIFS(PERSALDATA!$H$2:$H$20871,PERSALDATA!$A$2:$A$20871,WORKING!A26,PERSALDATA!$D$2:$D$20871,WORKING!B26,PERSALDATA!$E$2:$E$20871,WORKING!C26)</f>
        <v>2387803.4799999995</v>
      </c>
    </row>
    <row r="27" spans="1:29" x14ac:dyDescent="0.25">
      <c r="A27" s="2">
        <f>Results!$D$3</f>
        <v>37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0.71132914738546849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5.9497091559876703E-2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3.2547569813599665E-2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2.4797363920083956E-2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5.2873058370034844E-2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9.2472173033274929E-2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2.6296186207031048E-2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1.8740971063040593E-4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7.4266607511346908E-2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7.0467620177414536E-2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6.9467620177414535E-2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6.7467620177414533E-2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1.3715879431586024E-2</v>
      </c>
      <c r="AB27" s="2">
        <f>SUMIFS(PERSALDATA!$G$2:$G$20871,PERSALDATA!$A$2:$A$20871,WORKING!A27,PERSALDATA!$D$2:$D$20871,WORKING!B27,PERSALDATA!$E$2:$E$20871,WORKING!C27,PERSALDATA!$F$2:$F$20871,"S&amp;W: BASIC SALARY (RES)")</f>
        <v>2</v>
      </c>
      <c r="AC27" s="2">
        <f>SUMIFS(PERSALDATA!$H$2:$H$20871,PERSALDATA!$A$2:$A$20871,WORKING!A27,PERSALDATA!$D$2:$D$20871,WORKING!B27,PERSALDATA!$E$2:$E$20871,WORKING!C27)</f>
        <v>746599.52</v>
      </c>
    </row>
    <row r="28" spans="1:29" x14ac:dyDescent="0.25">
      <c r="A28" s="2">
        <f>Results!$D$3</f>
        <v>37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0.78200289652687416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5.7327772624485185E-2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3.7438811146504235E-2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2.1399807414755462E-2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0.10165989364208901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1.7081864529191971E-4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7.3454247656672245E-2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6.9946608999756299E-2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6.8946608999756298E-2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6.6946608999756282E-2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1.4114858441901725E-2</v>
      </c>
      <c r="AB28" s="2">
        <f>SUMIFS(PERSALDATA!$G$2:$G$20871,PERSALDATA!$A$2:$A$20871,WORKING!A28,PERSALDATA!$D$2:$D$20871,WORKING!B28,PERSALDATA!$E$2:$E$20871,WORKING!C28,PERSALDATA!$F$2:$F$20871,"S&amp;W: BASIC SALARY (RES)")</f>
        <v>5</v>
      </c>
      <c r="AC28" s="2">
        <f>SUMIFS(PERSALDATA!$H$2:$H$20871,PERSALDATA!$A$2:$A$20871,WORKING!A28,PERSALDATA!$D$2:$D$20871,WORKING!B28,PERSALDATA!$E$2:$E$20871,WORKING!C28)</f>
        <v>921503.62</v>
      </c>
    </row>
    <row r="29" spans="1:29" x14ac:dyDescent="0.25">
      <c r="A29" s="2">
        <f>Results!$D$3</f>
        <v>37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0.69991397251969023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0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0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0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0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0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1.2289640044242704E-4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0.29996313107986727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7.5999999999999998E-2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7.0000000000000007E-2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6.9000000000000006E-2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6.7000000000000004E-2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1.499815655399336E-2</v>
      </c>
      <c r="AB29" s="2">
        <f>SUMIFS(PERSALDATA!$G$2:$G$20871,PERSALDATA!$A$2:$A$20871,WORKING!A29,PERSALDATA!$D$2:$D$20871,WORKING!B29,PERSALDATA!$E$2:$E$20871,WORKING!C29,PERSALDATA!$F$2:$F$20871,"S&amp;W: BASIC SALARY (RES)")</f>
        <v>1</v>
      </c>
      <c r="AC29" s="2">
        <f>SUMIFS(PERSALDATA!$H$2:$H$20871,PERSALDATA!$A$2:$A$20871,WORKING!A29,PERSALDATA!$D$2:$D$20871,WORKING!B29,PERSALDATA!$E$2:$E$20871,WORKING!C29)</f>
        <v>189753.32</v>
      </c>
    </row>
    <row r="30" spans="1:29" x14ac:dyDescent="0.25">
      <c r="A30" s="2">
        <f>Results!$D$3</f>
        <v>37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0.72008024139210469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4.5702341583262772E-2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2.7147539612303706E-2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3.16306165948517E-3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2.0032781722082865E-2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9.3610114235397904E-2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1.9416860502144001E-2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1.1083555368822906E-4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7.0736223739530757E-2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1.4290632646678878E-2</v>
      </c>
      <c r="AB30" s="2">
        <f>SUMIFS(PERSALDATA!$G$2:$G$20871,PERSALDATA!$A$2:$A$20871,WORKING!A30,PERSALDATA!$D$2:$D$20871,WORKING!B30,PERSALDATA!$E$2:$E$20871,WORKING!C30,PERSALDATA!$F$2:$F$20871,"S&amp;W: BASIC SALARY (RES)")</f>
        <v>14</v>
      </c>
      <c r="AC30" s="2">
        <f>SUMIFS(PERSALDATA!$H$2:$H$20871,PERSALDATA!$A$2:$A$20871,WORKING!A30,PERSALDATA!$D$2:$D$20871,WORKING!B30,PERSALDATA!$E$2:$E$20871,WORKING!C30)</f>
        <v>7890067.4999999972</v>
      </c>
    </row>
    <row r="31" spans="1:29" x14ac:dyDescent="0.25">
      <c r="A31" s="2">
        <f>Results!$D$3</f>
        <v>37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0.70556397699150575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7.7133606896709658E-2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3.6706657651180796E-3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1.1226556244329429E-2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3.8826285991961597E-3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9.172307999367571E-2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2.7712131452600295E-2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9.3074526041585546E-5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7.8994279530823538E-2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1.4885304466644668E-2</v>
      </c>
      <c r="AB31" s="2">
        <f>SUMIFS(PERSALDATA!$G$2:$G$20871,PERSALDATA!$A$2:$A$20871,WORKING!A31,PERSALDATA!$D$2:$D$20871,WORKING!B31,PERSALDATA!$E$2:$E$20871,WORKING!C31,PERSALDATA!$F$2:$F$20871,"S&amp;W: BASIC SALARY (RES)")</f>
        <v>6</v>
      </c>
      <c r="AC31" s="2">
        <f>SUMIFS(PERSALDATA!$H$2:$H$20871,PERSALDATA!$A$2:$A$20871,WORKING!A31,PERSALDATA!$D$2:$D$20871,WORKING!B31,PERSALDATA!$E$2:$E$20871,WORKING!C31)</f>
        <v>4071468.4899999993</v>
      </c>
    </row>
    <row r="32" spans="1:29" x14ac:dyDescent="0.25">
      <c r="A32" s="2">
        <f>Results!$D$3</f>
        <v>37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0.62190438211487864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5.4138249680120647E-2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3.7028865567979546E-2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1.5496157068829428E-2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8.0847352075750722E-2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5.0226706951286247E-3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7.3790128295825633E-5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0.18223216067231449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3.2563719967021172E-3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1.4211017808523428E-2</v>
      </c>
      <c r="AB32" s="2">
        <f>SUMIFS(PERSALDATA!$G$2:$G$20871,PERSALDATA!$A$2:$A$20871,WORKING!A32,PERSALDATA!$D$2:$D$20871,WORKING!B32,PERSALDATA!$E$2:$E$20871,WORKING!C32,PERSALDATA!$F$2:$F$20871,"S&amp;W: BASIC SALARY (RES)")</f>
        <v>7</v>
      </c>
      <c r="AC32" s="2">
        <f>SUMIFS(PERSALDATA!$H$2:$H$20871,PERSALDATA!$A$2:$A$20871,WORKING!A32,PERSALDATA!$D$2:$D$20871,WORKING!B32,PERSALDATA!$E$2:$E$20871,WORKING!C32)</f>
        <v>6952691.5300000003</v>
      </c>
    </row>
    <row r="33" spans="1:29" x14ac:dyDescent="0.25">
      <c r="A33" s="2">
        <f>Results!$D$3</f>
        <v>37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0.62170701682763141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4.2760115285517541E-2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1.4574888612227752E-2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8.0821779334577612E-2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7.0716618991522906E-5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0.24006548332105418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1.4780315921531709E-2</v>
      </c>
      <c r="AB33" s="2">
        <f>SUMIFS(PERSALDATA!$G$2:$G$20871,PERSALDATA!$A$2:$A$20871,WORKING!A33,PERSALDATA!$D$2:$D$20871,WORKING!B33,PERSALDATA!$E$2:$E$20871,WORKING!C33,PERSALDATA!$F$2:$F$20871,"S&amp;W: BASIC SALARY (RES)")</f>
        <v>3</v>
      </c>
      <c r="AC33" s="2">
        <f>SUMIFS(PERSALDATA!$H$2:$H$20871,PERSALDATA!$A$2:$A$20871,WORKING!A33,PERSALDATA!$D$2:$D$20871,WORKING!B33,PERSALDATA!$E$2:$E$20871,WORKING!C33)</f>
        <v>3132785.52</v>
      </c>
    </row>
    <row r="34" spans="1:29" x14ac:dyDescent="0.25">
      <c r="A34" s="2">
        <f>Results!$D$3</f>
        <v>37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0.42587736932330272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0.30581826399044199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3.6785054737750324E-2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8.1696359062953857E-3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7.2573096627518777E-2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4.604343343305312E-5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0.15073053598125774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1.4324988988837817E-2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252153.22</v>
      </c>
    </row>
    <row r="35" spans="1:29" x14ac:dyDescent="0.25">
      <c r="A35" s="2">
        <f>Results!$D$3</f>
        <v>37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37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37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0.99691765022882872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3.0823497711712521E-3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9</v>
      </c>
      <c r="AC37" s="2">
        <f>SUMIFS(PERSALDATA!$H$2:$H$20871,PERSALDATA!$A$2:$A$20871,WORKING!A37,PERSALDATA!$D$2:$D$20871,WORKING!B37,PERSALDATA!$E$2:$E$20871,WORKING!C37)</f>
        <v>303729.32</v>
      </c>
    </row>
    <row r="38" spans="1:29" x14ac:dyDescent="0.25">
      <c r="A38" s="2">
        <f>Results!$D$3</f>
        <v>37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37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37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37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0.70761579207995928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0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0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3.0192619034096431E-2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0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0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3.7390615347482944E-4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0.26181768273246941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7.5999999999999998E-2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7.0000000000000007E-2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6.9000000000000006E-2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6.7000000000000004E-2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1.4994391407697875E-2</v>
      </c>
      <c r="AB41" s="2">
        <f>SUMIFS(PERSALDATA!$G$2:$G$20871,PERSALDATA!$A$2:$A$20871,WORKING!A41,PERSALDATA!$D$2:$D$20871,WORKING!B41,PERSALDATA!$E$2:$E$20871,WORKING!C41,PERSALDATA!$F$2:$F$20871,"S&amp;W: BASIC SALARY (RES)")</f>
        <v>6</v>
      </c>
      <c r="AC41" s="2">
        <f>SUMIFS(PERSALDATA!$H$2:$H$20871,PERSALDATA!$A$2:$A$20871,WORKING!A41,PERSALDATA!$D$2:$D$20871,WORKING!B41,PERSALDATA!$E$2:$E$20871,WORKING!C41)</f>
        <v>1122634.6400000001</v>
      </c>
    </row>
    <row r="42" spans="1:29" x14ac:dyDescent="0.25">
      <c r="A42" s="2">
        <f>Results!$D$3</f>
        <v>37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0.69209915204216665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5.7611844964165278E-2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5.3929648414112803E-2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8.6169990672700855E-3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8.0439066701227802E-2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8.9972137413596387E-2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1.7051675975012757E-2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2.794754224482468E-4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7.3027493654344619E-2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7.0667289516377296E-2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6.9667289516377282E-2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6.7667289516377294E-2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1.2980277141933167E-2</v>
      </c>
      <c r="AB42" s="2">
        <f>SUMIFS(PERSALDATA!$G$2:$G$20871,PERSALDATA!$A$2:$A$20871,WORKING!A42,PERSALDATA!$D$2:$D$20871,WORKING!B42,PERSALDATA!$E$2:$E$20871,WORKING!C42,PERSALDATA!$F$2:$F$20871,"S&amp;W: BASIC SALARY (RES)")</f>
        <v>3</v>
      </c>
      <c r="AC42" s="2">
        <f>SUMIFS(PERSALDATA!$H$2:$H$20871,PERSALDATA!$A$2:$A$20871,WORKING!A42,PERSALDATA!$D$2:$D$20871,WORKING!B42,PERSALDATA!$E$2:$E$20871,WORKING!C42)</f>
        <v>750978.38</v>
      </c>
    </row>
    <row r="43" spans="1:29" x14ac:dyDescent="0.25">
      <c r="A43" s="2">
        <f>Results!$D$3</f>
        <v>37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0.65104405863497705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5.353887282503425E-2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3.5871032460934205E-2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4.4569664125729401E-2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5.9878667375926058E-2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8.4635111030609722E-2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4.1848788215239109E-2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2.1196894009386521E-4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2.8401836391456294E-2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7.4112102876231975E-2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7.0539469686029546E-2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6.9539469686029545E-2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6.7539469686029557E-2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1.3560574968345687E-2</v>
      </c>
      <c r="AB43" s="2">
        <f>SUMIFS(PERSALDATA!$G$2:$G$20871,PERSALDATA!$A$2:$A$20871,WORKING!A43,PERSALDATA!$D$2:$D$20871,WORKING!B43,PERSALDATA!$E$2:$E$20871,WORKING!C43,PERSALDATA!$F$2:$F$20871,"S&amp;W: BASIC SALARY (RES)")</f>
        <v>9</v>
      </c>
      <c r="AC43" s="2">
        <f>SUMIFS(PERSALDATA!$H$2:$H$20871,PERSALDATA!$A$2:$A$20871,WORKING!A43,PERSALDATA!$D$2:$D$20871,WORKING!B43,PERSALDATA!$E$2:$E$20871,WORKING!C43)</f>
        <v>2667890.87</v>
      </c>
    </row>
    <row r="44" spans="1:29" x14ac:dyDescent="0.25">
      <c r="A44" s="2">
        <f>Results!$D$3</f>
        <v>37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0.73243477129471846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6.1123685450531061E-2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3.3488941145418533E-2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5.5406584893287487E-2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9.5215898862405474E-2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1.9935892243998443E-2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1.9090184850272809E-4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2.2033242611378327E-3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7.4230532661454227E-2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7.0496209361945131E-2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6.9496209361945116E-2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6.7496209361945114E-2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1.3663703581691868E-2</v>
      </c>
      <c r="AB44" s="2">
        <f>SUMIFS(PERSALDATA!$G$2:$G$20871,PERSALDATA!$A$2:$A$20871,WORKING!A44,PERSALDATA!$D$2:$D$20871,WORKING!B44,PERSALDATA!$E$2:$E$20871,WORKING!C44,PERSALDATA!$F$2:$F$20871,"S&amp;W: BASIC SALARY (RES)")</f>
        <v>11</v>
      </c>
      <c r="AC44" s="2">
        <f>SUMIFS(PERSALDATA!$H$2:$H$20871,PERSALDATA!$A$2:$A$20871,WORKING!A44,PERSALDATA!$D$2:$D$20871,WORKING!B44,PERSALDATA!$E$2:$E$20871,WORKING!C44)</f>
        <v>4031181.5</v>
      </c>
    </row>
    <row r="45" spans="1:29" x14ac:dyDescent="0.25">
      <c r="A45" s="2">
        <f>Results!$D$3</f>
        <v>37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0.74509940792682627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6.2223714929239234E-2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2.8056951380270253E-2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2.9115003987351877E-3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3.9298052702869207E-2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9.6974906016230975E-2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1.5661818326723403E-2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1.6230612916076366E-4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7.5846190713061926E-3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2.0267231186383724E-3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7.4417844432939625E-2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7.0308901276740332E-2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6.9308901276740331E-2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6.7308901276740357E-2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1.3987240346815493E-2</v>
      </c>
      <c r="AB45" s="2">
        <f>SUMIFS(PERSALDATA!$G$2:$G$20871,PERSALDATA!$A$2:$A$20871,WORKING!A45,PERSALDATA!$D$2:$D$20871,WORKING!B45,PERSALDATA!$E$2:$E$20871,WORKING!C45,PERSALDATA!$F$2:$F$20871,"S&amp;W: BASIC SALARY (RES)")</f>
        <v>30</v>
      </c>
      <c r="AC45" s="2">
        <f>SUMIFS(PERSALDATA!$H$2:$H$20871,PERSALDATA!$A$2:$A$20871,WORKING!A45,PERSALDATA!$D$2:$D$20871,WORKING!B45,PERSALDATA!$E$2:$E$20871,WORKING!C45)</f>
        <v>12895200.02</v>
      </c>
    </row>
    <row r="46" spans="1:29" x14ac:dyDescent="0.25">
      <c r="A46" s="2">
        <f>Results!$D$3</f>
        <v>37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0.64720169117212989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0.23346542763733227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1.6500074983674094E-2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1.8590084481606144E-2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8.413583790619672E-2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1.0688381906091105E-4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7.500625548398325E-2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7.0113850517387374E-2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6.911385051738736E-2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6.7113850517387358E-2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1.4472044350734882E-2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163635.62</v>
      </c>
    </row>
    <row r="47" spans="1:29" x14ac:dyDescent="0.25">
      <c r="A47" s="2">
        <f>Results!$D$3</f>
        <v>37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0.72021134805446996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4.1934546765795271E-2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2.4021636736515292E-2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1.122515740994199E-2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1.7503540171862651E-2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9.3795422665377479E-2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1.2854469568866512E-2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1.0831101482899009E-4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7.8345567612341793E-2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1.4375497681151896E-2</v>
      </c>
      <c r="AB47" s="2">
        <f>SUMIFS(PERSALDATA!$G$2:$G$20871,PERSALDATA!$A$2:$A$20871,WORKING!A47,PERSALDATA!$D$2:$D$20871,WORKING!B47,PERSALDATA!$E$2:$E$20871,WORKING!C47,PERSALDATA!$F$2:$F$20871,"S&amp;W: BASIC SALARY (RES)")</f>
        <v>13</v>
      </c>
      <c r="AC47" s="2">
        <f>SUMIFS(PERSALDATA!$H$2:$H$20871,PERSALDATA!$A$2:$A$20871,WORKING!A47,PERSALDATA!$D$2:$D$20871,WORKING!B47,PERSALDATA!$E$2:$E$20871,WORKING!C47)</f>
        <v>8396929.9099999983</v>
      </c>
    </row>
    <row r="48" spans="1:29" x14ac:dyDescent="0.25">
      <c r="A48" s="2">
        <f>Results!$D$3</f>
        <v>37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0.72479729676015636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3.5983385705502829E-2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3.0971507614029014E-2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3.4225546625582274E-3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1.8186679583464749E-2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9.4223385648831801E-2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1.5928244395096918E-2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9.4069982273772571E-5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7.6392875648086417E-2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1.4261216142303489E-2</v>
      </c>
      <c r="AB48" s="2">
        <f>SUMIFS(PERSALDATA!$G$2:$G$20871,PERSALDATA!$A$2:$A$20871,WORKING!A48,PERSALDATA!$D$2:$D$20871,WORKING!B48,PERSALDATA!$E$2:$E$20871,WORKING!C48,PERSALDATA!$F$2:$F$20871,"S&amp;W: BASIC SALARY (RES)")</f>
        <v>6</v>
      </c>
      <c r="AC48" s="2">
        <f>SUMIFS(PERSALDATA!$H$2:$H$20871,PERSALDATA!$A$2:$A$20871,WORKING!A48,PERSALDATA!$D$2:$D$20871,WORKING!B48,PERSALDATA!$E$2:$E$20871,WORKING!C48)</f>
        <v>5081961.1999999993</v>
      </c>
    </row>
    <row r="49" spans="1:29" x14ac:dyDescent="0.25">
      <c r="A49" s="2">
        <f>Results!$D$3</f>
        <v>37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0.60381422785446859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4.7602468037982577E-2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3.8546384615542995E-2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1.9371524921586655E-2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7.3405556384724846E-2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7.2843980875822575E-5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0.20128367081547327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1.4083760314540632E-2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1.8195630748047027E-3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1.413013869722992E-2</v>
      </c>
      <c r="AB49" s="2">
        <f>SUMIFS(PERSALDATA!$G$2:$G$20871,PERSALDATA!$A$2:$A$20871,WORKING!A49,PERSALDATA!$D$2:$D$20871,WORKING!B49,PERSALDATA!$E$2:$E$20871,WORKING!C49,PERSALDATA!$F$2:$F$20871,"S&amp;W: BASIC SALARY (RES)")</f>
        <v>4</v>
      </c>
      <c r="AC49" s="2">
        <f>SUMIFS(PERSALDATA!$H$2:$H$20871,PERSALDATA!$A$2:$A$20871,WORKING!A49,PERSALDATA!$D$2:$D$20871,WORKING!B49,PERSALDATA!$E$2:$E$20871,WORKING!C49)</f>
        <v>4881391.6499999994</v>
      </c>
    </row>
    <row r="50" spans="1:29" x14ac:dyDescent="0.25">
      <c r="A50" s="2">
        <f>Results!$D$3</f>
        <v>37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0.62112290882123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3.7086357373168406E-2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1.6249187565759687E-2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8.0745812772396355E-2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3.312018810123879E-2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5.8621759596769158E-5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0.21161692360660986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1.475538286011965E-2</v>
      </c>
      <c r="AB50" s="2">
        <f>SUMIFS(PERSALDATA!$G$2:$G$20871,PERSALDATA!$A$2:$A$20871,WORKING!A50,PERSALDATA!$D$2:$D$20871,WORKING!B50,PERSALDATA!$E$2:$E$20871,WORKING!C50,PERSALDATA!$F$2:$F$20871,"S&amp;W: BASIC SALARY (RES)")</f>
        <v>2</v>
      </c>
      <c r="AC50" s="2">
        <f>SUMIFS(PERSALDATA!$H$2:$H$20871,PERSALDATA!$A$2:$A$20871,WORKING!A50,PERSALDATA!$D$2:$D$20871,WORKING!B50,PERSALDATA!$E$2:$E$20871,WORKING!C50)</f>
        <v>1491766.8900000001</v>
      </c>
    </row>
    <row r="51" spans="1:29" x14ac:dyDescent="0.25">
      <c r="A51" s="2">
        <f>Results!$D$3</f>
        <v>37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0.69996263974114858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5.8330219978429049E-2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0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9.0994968001856982E-2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5.3559912074774403E-5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0.1506586123664907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1.4999196601318878E-2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1306200.7999999998</v>
      </c>
    </row>
    <row r="52" spans="1:29" x14ac:dyDescent="0.25">
      <c r="A52" s="2">
        <f>Results!$D$3</f>
        <v>37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37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37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3.3190850223038908E-2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2.979394370042126E-4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1.2065509316522713E-6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0.96651000378902518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6.8999999999999992E-2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1.4999981901736025E-2</v>
      </c>
      <c r="AB54" s="2">
        <f>SUMIFS(PERSALDATA!$G$2:$G$20871,PERSALDATA!$A$2:$A$20871,WORKING!A54,PERSALDATA!$D$2:$D$20871,WORKING!B54,PERSALDATA!$E$2:$E$20871,WORKING!C54,PERSALDATA!$F$2:$F$20871,"S&amp;W: BASIC SALARY (RES)")</f>
        <v>5</v>
      </c>
      <c r="AC54" s="2">
        <f>SUMIFS(PERSALDATA!$H$2:$H$20871,PERSALDATA!$A$2:$A$20871,WORKING!A54,PERSALDATA!$D$2:$D$20871,WORKING!B54,PERSALDATA!$E$2:$E$20871,WORKING!C54)</f>
        <v>4831955.16</v>
      </c>
    </row>
    <row r="55" spans="1:29" x14ac:dyDescent="0.25">
      <c r="A55" s="2">
        <f>Results!$D$3</f>
        <v>37</v>
      </c>
      <c r="B55" s="2">
        <v>4</v>
      </c>
      <c r="C55" s="2">
        <v>2</v>
      </c>
      <c r="D55" s="62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>0.5679571685152508</v>
      </c>
      <c r="E55" s="62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>4.5627400684567908E-2</v>
      </c>
      <c r="F55" s="62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>8.4808542829927142E-2</v>
      </c>
      <c r="G55" s="69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>1.0878652311769462E-2</v>
      </c>
      <c r="H55" s="62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>0.152759447707701</v>
      </c>
      <c r="I55" s="62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>7.3868673162143697E-2</v>
      </c>
      <c r="J55" s="62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>5.5110786175524611E-2</v>
      </c>
      <c r="K55" s="62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>4.4272830878229485E-4</v>
      </c>
      <c r="L55" s="62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>0</v>
      </c>
      <c r="M55" s="62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>0</v>
      </c>
      <c r="N55" s="62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>8.5466003043329613E-3</v>
      </c>
      <c r="O55" s="62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>0</v>
      </c>
      <c r="P55" s="62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>0</v>
      </c>
      <c r="Q55" s="62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>0</v>
      </c>
      <c r="R55" s="62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>0</v>
      </c>
      <c r="S55" s="62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>0</v>
      </c>
      <c r="T55" s="62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>0</v>
      </c>
      <c r="U55" s="62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>0</v>
      </c>
      <c r="V55" s="62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>0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7.1693183012833325E-2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7.1443306287316238E-2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7.0443306287316237E-2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6.8443306287316236E-2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1.1429839217303841E-2</v>
      </c>
      <c r="AB55" s="2">
        <f>SUMIFS(PERSALDATA!$G$2:$G$20871,PERSALDATA!$A$2:$A$20871,WORKING!A55,PERSALDATA!$D$2:$D$20871,WORKING!B55,PERSALDATA!$E$2:$E$20871,WORKING!C55,PERSALDATA!$F$2:$F$20871,"S&amp;W: BASIC SALARY (RES)")</f>
        <v>11</v>
      </c>
      <c r="AC55" s="2">
        <f>SUMIFS(PERSALDATA!$H$2:$H$20871,PERSALDATA!$A$2:$A$20871,WORKING!A55,PERSALDATA!$D$2:$D$20871,WORKING!B55,PERSALDATA!$E$2:$E$20871,WORKING!C55)</f>
        <v>1804063.5400000003</v>
      </c>
    </row>
    <row r="56" spans="1:29" x14ac:dyDescent="0.25">
      <c r="A56" s="2">
        <f>Results!$D$3</f>
        <v>37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0.62624549473121716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5.6274701236466329E-2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6.3414793628532473E-2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7.4082759030172658E-3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9.4160399406099313E-2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8.147795739352609E-2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7.0585682123341487E-2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4.3269557779989927E-4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0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0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0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7.2498721275916916E-2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7.077825805480617E-2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6.9778258054806183E-2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6.7778258054806167E-2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1.2629881670813525E-2</v>
      </c>
      <c r="AB56" s="2">
        <f>SUMIFS(PERSALDATA!$G$2:$G$20871,PERSALDATA!$A$2:$A$20871,WORKING!A56,PERSALDATA!$D$2:$D$20871,WORKING!B56,PERSALDATA!$E$2:$E$20871,WORKING!C56,PERSALDATA!$F$2:$F$20871,"S&amp;W: BASIC SALARY (RES)")</f>
        <v>6</v>
      </c>
      <c r="AC56" s="2">
        <f>SUMIFS(PERSALDATA!$H$2:$H$20871,PERSALDATA!$A$2:$A$20871,WORKING!A56,PERSALDATA!$D$2:$D$20871,WORKING!B56,PERSALDATA!$E$2:$E$20871,WORKING!C56)</f>
        <v>1064420.4000000001</v>
      </c>
    </row>
    <row r="57" spans="1:29" x14ac:dyDescent="0.25">
      <c r="A57" s="2">
        <f>Results!$D$3</f>
        <v>37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0.7122991108299519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3.0459361466590375E-2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4.1604514301903199E-2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6.146536734492546E-3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6.6780579366644624E-3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4.6752555243531453E-2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2.7059274892804526E-2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4.4263940118064062E-4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0.12855794919288088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7.293154972416864E-2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6.9684125726030929E-2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6.8684125726030928E-2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6.6684125726030941E-2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1.4269121825403776E-2</v>
      </c>
      <c r="AB57" s="2">
        <f>SUMIFS(PERSALDATA!$G$2:$G$20871,PERSALDATA!$A$2:$A$20871,WORKING!A57,PERSALDATA!$D$2:$D$20871,WORKING!B57,PERSALDATA!$E$2:$E$20871,WORKING!C57,PERSALDATA!$F$2:$F$20871,"S&amp;W: BASIC SALARY (RES)")</f>
        <v>10</v>
      </c>
      <c r="AC57" s="2">
        <f>SUMIFS(PERSALDATA!$H$2:$H$20871,PERSALDATA!$A$2:$A$20871,WORKING!A57,PERSALDATA!$D$2:$D$20871,WORKING!B57,PERSALDATA!$E$2:$E$20871,WORKING!C57)</f>
        <v>1593577.07</v>
      </c>
    </row>
    <row r="58" spans="1:29" x14ac:dyDescent="0.25">
      <c r="A58" s="2">
        <f>Results!$D$3</f>
        <v>37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0.71163773527100815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3.1390257496947495E-2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3.0483024621313175E-2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9.2607009456353601E-3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2.1968422315448811E-2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4.8811396388100933E-2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2.1012113383032622E-2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3.5919325297958585E-4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0.12507715632553393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7.3990848041196489E-2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7.0024696088518606E-2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6.9024696088518606E-2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6.7024696088518604E-2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1.4207840397153877E-2</v>
      </c>
      <c r="AB58" s="2">
        <f>SUMIFS(PERSALDATA!$G$2:$G$20871,PERSALDATA!$A$2:$A$20871,WORKING!A58,PERSALDATA!$D$2:$D$20871,WORKING!B58,PERSALDATA!$E$2:$E$20871,WORKING!C58,PERSALDATA!$F$2:$F$20871,"S&amp;W: BASIC SALARY (RES)")</f>
        <v>15</v>
      </c>
      <c r="AC58" s="2">
        <f>SUMIFS(PERSALDATA!$H$2:$H$20871,PERSALDATA!$A$2:$A$20871,WORKING!A58,PERSALDATA!$D$2:$D$20871,WORKING!B58,PERSALDATA!$E$2:$E$20871,WORKING!C58)</f>
        <v>3100086.07</v>
      </c>
    </row>
    <row r="59" spans="1:29" x14ac:dyDescent="0.25">
      <c r="A59" s="2">
        <f>Results!$D$3</f>
        <v>37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0.70078712238183327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5.8800326522837634E-2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4.2319612585436178E-2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6.0597861955163984E-3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6.437277798962486E-2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9.1914935574783918E-2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3.5468739675530651E-2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2.7669907443711358E-4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7.3684928335361596E-2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7.0542395543990027E-2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6.9542395543990027E-2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6.7542395543990011E-2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1.3395463655257527E-2</v>
      </c>
      <c r="AB59" s="2">
        <f>SUMIFS(PERSALDATA!$G$2:$G$20871,PERSALDATA!$A$2:$A$20871,WORKING!A59,PERSALDATA!$D$2:$D$20871,WORKING!B59,PERSALDATA!$E$2:$E$20871,WORKING!C59,PERSALDATA!$F$2:$F$20871,"S&amp;W: BASIC SALARY (RES)")</f>
        <v>6</v>
      </c>
      <c r="AC59" s="2">
        <f>SUMIFS(PERSALDATA!$H$2:$H$20871,PERSALDATA!$A$2:$A$20871,WORKING!A59,PERSALDATA!$D$2:$D$20871,WORKING!B59,PERSALDATA!$E$2:$E$20871,WORKING!C59)</f>
        <v>1517027.12</v>
      </c>
    </row>
    <row r="60" spans="1:29" x14ac:dyDescent="0.25">
      <c r="A60" s="2">
        <f>Results!$D$3</f>
        <v>37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0.70998405754694016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5.5393464025629412E-2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3.6975760260639062E-2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1.80455641541875E-2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4.390049301057386E-2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8.7002709514655482E-2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2.505903217276197E-2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2.3887280819679711E-4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1.5613204893644839E-2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7.7868416127705974E-3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7.3804449122339452E-2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7.0288749792552202E-2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6.9288749792552187E-2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6.7288749792552213E-2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1.3783273108808848E-2</v>
      </c>
      <c r="AB60" s="2">
        <f>SUMIFS(PERSALDATA!$G$2:$G$20871,PERSALDATA!$A$2:$A$20871,WORKING!A60,PERSALDATA!$D$2:$D$20871,WORKING!B60,PERSALDATA!$E$2:$E$20871,WORKING!C60,PERSALDATA!$F$2:$F$20871,"S&amp;W: BASIC SALARY (RES)")</f>
        <v>29</v>
      </c>
      <c r="AC60" s="2">
        <f>SUMIFS(PERSALDATA!$H$2:$H$20871,PERSALDATA!$A$2:$A$20871,WORKING!A60,PERSALDATA!$D$2:$D$20871,WORKING!B60,PERSALDATA!$E$2:$E$20871,WORKING!C60)</f>
        <v>9151941.6400000025</v>
      </c>
    </row>
    <row r="61" spans="1:29" x14ac:dyDescent="0.25">
      <c r="A61" s="2">
        <f>Results!$D$3</f>
        <v>37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0.70060618900980132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6.8650773508214163E-2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2.8191517229285812E-2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2.8685415128031442E-2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9.1078254581726165E-2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5.1392218045636387E-2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1.7837144467087659E-4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1.4955053542902998E-2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1.6262207509730658E-2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7.4259040502366702E-2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7.0148366054627612E-2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6.9148366054627611E-2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6.7148366054627623E-2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1.4144170442970175E-2</v>
      </c>
      <c r="AB61" s="2">
        <f>SUMIFS(PERSALDATA!$G$2:$G$20871,PERSALDATA!$A$2:$A$20871,WORKING!A61,PERSALDATA!$D$2:$D$20871,WORKING!B61,PERSALDATA!$E$2:$E$20871,WORKING!C61,PERSALDATA!$F$2:$F$20871,"S&amp;W: BASIC SALARY (RES)")</f>
        <v>3</v>
      </c>
      <c r="AC61" s="2">
        <f>SUMIFS(PERSALDATA!$H$2:$H$20871,PERSALDATA!$A$2:$A$20871,WORKING!A61,PERSALDATA!$D$2:$D$20871,WORKING!B61,PERSALDATA!$E$2:$E$20871,WORKING!C61)</f>
        <v>1372753.3600000003</v>
      </c>
    </row>
    <row r="62" spans="1:29" x14ac:dyDescent="0.25">
      <c r="A62" s="2">
        <f>Results!$D$3</f>
        <v>37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0.75452081936616044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6.1968457499858853E-2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2.351111354908297E-2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8.3812874740312208E-4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3.8744151779898976E-2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9.8087203232826436E-2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2.2167355446779755E-2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1.6277037798949503E-4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7.4755573495188271E-2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7.0346051141207663E-2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6.9346051141207662E-2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6.7346051141207661E-2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1.4063729464395429E-2</v>
      </c>
      <c r="AB62" s="2">
        <f>SUMIFS(PERSALDATA!$G$2:$G$20871,PERSALDATA!$A$2:$A$20871,WORKING!A62,PERSALDATA!$D$2:$D$20871,WORKING!B62,PERSALDATA!$E$2:$E$20871,WORKING!C62,PERSALDATA!$F$2:$F$20871,"S&amp;W: BASIC SALARY (RES)")</f>
        <v>14</v>
      </c>
      <c r="AC62" s="2">
        <f>SUMIFS(PERSALDATA!$H$2:$H$20871,PERSALDATA!$A$2:$A$20871,WORKING!A62,PERSALDATA!$D$2:$D$20871,WORKING!B62,PERSALDATA!$E$2:$E$20871,WORKING!C62)</f>
        <v>6124763.0699999994</v>
      </c>
    </row>
    <row r="63" spans="1:29" x14ac:dyDescent="0.25">
      <c r="A63" s="2">
        <f>Results!$D$3</f>
        <v>37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0.76867688307210336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7.1839574540204051E-2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1.4255104308601371E-2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2.5926715055520605E-2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9.9927604248570473E-2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1.9245093808057209E-2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1.2902496694296641E-4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7.527958608332358E-2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7.0246349682746803E-2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6.9246349682746802E-2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6.7246349682746787E-2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1.4395337335034026E-2</v>
      </c>
      <c r="AB63" s="2">
        <f>SUMIFS(PERSALDATA!$G$2:$G$20871,PERSALDATA!$A$2:$A$20871,WORKING!A63,PERSALDATA!$D$2:$D$20871,WORKING!B63,PERSALDATA!$E$2:$E$20871,WORKING!C63,PERSALDATA!$F$2:$F$20871,"S&amp;W: BASIC SALARY (RES)")</f>
        <v>2</v>
      </c>
      <c r="AC63" s="2">
        <f>SUMIFS(PERSALDATA!$H$2:$H$20871,PERSALDATA!$A$2:$A$20871,WORKING!A63,PERSALDATA!$D$2:$D$20871,WORKING!B63,PERSALDATA!$E$2:$E$20871,WORKING!C63)</f>
        <v>1536291.81</v>
      </c>
    </row>
    <row r="64" spans="1:29" x14ac:dyDescent="0.25">
      <c r="A64" s="2">
        <f>Results!$D$3</f>
        <v>37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0.72730976915339796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4.560868662726493E-2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1.3698153695371088E-2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1.6024324691657787E-3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1.4117348559970997E-2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9.4581404124936208E-2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1.168821396231024E-2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1.0952157498952313E-4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8.7500174390242977E-2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3.7842954423502402E-3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1.4581124642545025E-2</v>
      </c>
      <c r="AB64" s="2">
        <f>SUMIFS(PERSALDATA!$G$2:$G$20871,PERSALDATA!$A$2:$A$20871,WORKING!A64,PERSALDATA!$D$2:$D$20871,WORKING!B64,PERSALDATA!$E$2:$E$20871,WORKING!C64,PERSALDATA!$F$2:$F$20871,"S&amp;W: BASIC SALARY (RES)")</f>
        <v>10</v>
      </c>
      <c r="AC64" s="2">
        <f>SUMIFS(PERSALDATA!$H$2:$H$20871,PERSALDATA!$A$2:$A$20871,WORKING!A64,PERSALDATA!$D$2:$D$20871,WORKING!B64,PERSALDATA!$E$2:$E$20871,WORKING!C64)</f>
        <v>6441014.0200000005</v>
      </c>
    </row>
    <row r="65" spans="1:29" x14ac:dyDescent="0.25">
      <c r="A65" s="2">
        <f>Results!$D$3</f>
        <v>37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0.72462159409540183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4.9274733609201683E-2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2.0395945369879424E-2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1.3244655829636549E-3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8.9639714239766865E-3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9.4200573199018464E-2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2.304954866636711E-2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9.3886929271603422E-5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7.4459521611549145E-2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3.6157595123705098E-3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1.4558192944153083E-2</v>
      </c>
      <c r="AB65" s="2">
        <f>SUMIFS(PERSALDATA!$G$2:$G$20871,PERSALDATA!$A$2:$A$20871,WORKING!A65,PERSALDATA!$D$2:$D$20871,WORKING!B65,PERSALDATA!$E$2:$E$20871,WORKING!C65,PERSALDATA!$F$2:$F$20871,"S&amp;W: BASIC SALARY (RES)")</f>
        <v>6</v>
      </c>
      <c r="AC65" s="2">
        <f>SUMIFS(PERSALDATA!$H$2:$H$20871,PERSALDATA!$A$2:$A$20871,WORKING!A65,PERSALDATA!$D$2:$D$20871,WORKING!B65,PERSALDATA!$E$2:$E$20871,WORKING!C65)</f>
        <v>5153965.5599999996</v>
      </c>
    </row>
    <row r="66" spans="1:29" x14ac:dyDescent="0.25">
      <c r="A66" s="2">
        <f>Results!$D$3</f>
        <v>37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0.59831697066430012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4.3525847746757045E-2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6.3055898312974245E-3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6.3972435048024225E-3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7.7780995565815803E-2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7.1522877608608666E-5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0.25032800836296087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1.5622835951058634E-2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1.6509854953990909E-3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1.480838465679437E-2</v>
      </c>
      <c r="AB66" s="2">
        <f>SUMIFS(PERSALDATA!$G$2:$G$20871,PERSALDATA!$A$2:$A$20871,WORKING!A66,PERSALDATA!$D$2:$D$20871,WORKING!B66,PERSALDATA!$E$2:$E$20871,WORKING!C66,PERSALDATA!$F$2:$F$20871,"S&amp;W: BASIC SALARY (RES)")</f>
        <v>5</v>
      </c>
      <c r="AC66" s="2">
        <f>SUMIFS(PERSALDATA!$H$2:$H$20871,PERSALDATA!$A$2:$A$20871,WORKING!A66,PERSALDATA!$D$2:$D$20871,WORKING!B66,PERSALDATA!$E$2:$E$20871,WORKING!C66)</f>
        <v>5379817.0999999996</v>
      </c>
    </row>
    <row r="67" spans="1:29" x14ac:dyDescent="0.25">
      <c r="A67" s="2">
        <f>Results!$D$3</f>
        <v>37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0.67545174152928578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9.2257909203973976E-2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0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8.7808519529095491E-2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5.7787083209131819E-5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0.14442404265443554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1.4999133193751863E-2</v>
      </c>
      <c r="AB67" s="2">
        <f>SUMIFS(PERSALDATA!$G$2:$G$20871,PERSALDATA!$A$2:$A$20871,WORKING!A67,PERSALDATA!$D$2:$D$20871,WORKING!B67,PERSALDATA!$E$2:$E$20871,WORKING!C67,PERSALDATA!$F$2:$F$20871,"S&amp;W: BASIC SALARY (RES)")</f>
        <v>2</v>
      </c>
      <c r="AC67" s="2">
        <f>SUMIFS(PERSALDATA!$H$2:$H$20871,PERSALDATA!$A$2:$A$20871,WORKING!A67,PERSALDATA!$D$2:$D$20871,WORKING!B67,PERSALDATA!$E$2:$E$20871,WORKING!C67)</f>
        <v>1715089.1600000001</v>
      </c>
    </row>
    <row r="68" spans="1:29" x14ac:dyDescent="0.25">
      <c r="A68" s="2">
        <f>Results!$D$3</f>
        <v>37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0.55891361983758747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4.4311028139710981E-2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1.328233281782209E-2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7.2658657135246177E-2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4.8603128826899197E-5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0.2545950846659899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5.6190674274816665E-2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1.4800035960800269E-2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1559364.63</v>
      </c>
    </row>
    <row r="69" spans="1:29" x14ac:dyDescent="0.25">
      <c r="A69" s="2">
        <f>Results!$D$3</f>
        <v>37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37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37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37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37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37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37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37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37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37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37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37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37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37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37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37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37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37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37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37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37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37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37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37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37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37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37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37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37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37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37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37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37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37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37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37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37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37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37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37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37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37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37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37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37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37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37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37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37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37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37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37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37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37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37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37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37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37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37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37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37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37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37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37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37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37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37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37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37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37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37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37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37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37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37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37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37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37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37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37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37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37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37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37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37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37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37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37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37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37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37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37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37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37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37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37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37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37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37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37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37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37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37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37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37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37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37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37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37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37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37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37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37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37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37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37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37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37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37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37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37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37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37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37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37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37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37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37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37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37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37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37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37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37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37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37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37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37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37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37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37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37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37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37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37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37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37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37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37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37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37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37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37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37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37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37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37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37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37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37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37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37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37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37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37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37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37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37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37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37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37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37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37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37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37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37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37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37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37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37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37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37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37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37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37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37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37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37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37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37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37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37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37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37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37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37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37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37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37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37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37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37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37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37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37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37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37</v>
      </c>
      <c r="E3" s="74" t="str">
        <f>INDEX(MAPs!$I$7:$J$54,MATCH(Results!$D$3,MAPs!$I$7:$I$54,0),2)</f>
        <v>Arts And Culture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138.35714285714286</v>
      </c>
      <c r="N9" s="148">
        <f>IFERROR(SUMIFS('Employee Profile (2)'!C$4:C$50,'Employee Profile (2)'!$B$4:$B$50,Results!$D$3),"")</f>
        <v>0.29563492063492064</v>
      </c>
      <c r="O9" s="150" t="s">
        <v>620</v>
      </c>
      <c r="P9" s="143">
        <f>IFERROR(INDEX('Employee Profile (2)'!$AC$4:$AC$50,MATCH(Results!$D$3,'Employee Profile (2)'!$B$4:$B$50,0))*$Q9,"")</f>
        <v>267.42857142857139</v>
      </c>
      <c r="Q9" s="148">
        <f>IFERROR(SUMIFS('Employee Profile (2)'!J$4:J$50,'Employee Profile (2)'!$B$4:$B$50,Results!$D$3),"")</f>
        <v>0.5714285714285714</v>
      </c>
      <c r="R9" s="150" t="s">
        <v>627</v>
      </c>
      <c r="S9" s="144">
        <f>IFERROR(INDEX('Employee Profile (2)'!$AC$4:$AC$50,MATCH(Results!$D$3,'Employee Profile (2)'!$B$4:$B$50,0))*$T9,"")</f>
        <v>22.285714285714285</v>
      </c>
      <c r="T9" s="147">
        <f>IFERROR(SUMIFS('Employee Profile (2)'!N$4:N$50,'Employee Profile (2)'!$B$4:$B$50,Results!$D$3),"")</f>
        <v>4.7619047619047616E-2</v>
      </c>
      <c r="U9" s="150" t="s">
        <v>632</v>
      </c>
      <c r="V9" s="144">
        <f>IFERROR(INDEX('Employee Profile (2)'!$AC$4:$AC$50,MATCH(Results!$D$3,'Employee Profile (2)'!$B$4:$B$50,0))*$W9,"")</f>
        <v>247.92857142857144</v>
      </c>
      <c r="W9" s="147">
        <f>IFERROR(SUMIFS('Employee Profile (2)'!S$4:S$50,'Employee Profile (2)'!$B$4:$B$50,Results!$D$3),"")</f>
        <v>0.52976190476190477</v>
      </c>
      <c r="X9" s="150" t="s">
        <v>635</v>
      </c>
      <c r="Y9" s="144">
        <f>IFERROR(INDEX('Employee Profile (2)'!$AC$4:$AC$50,MATCH(Results!$D$3,'Employee Profile (2)'!$B$4:$B$50,0))*$Z9,"")</f>
        <v>369.57142857142856</v>
      </c>
      <c r="Z9" s="147">
        <f>IFERROR(SUMIFS('Employee Profile (2)'!V$4:V$50,'Employee Profile (2)'!$B$4:$B$50,Results!$D$3),"")</f>
        <v>0.78968253968253965</v>
      </c>
      <c r="AA9" s="150" t="s">
        <v>675</v>
      </c>
      <c r="AB9" s="144">
        <f>IFERROR(SUMIFS('Employee Profile (2)'!$AD$4:$AD$50,'Employee Profile (2)'!$B$4:$B$50,Results!$D$3),"")</f>
        <v>191</v>
      </c>
      <c r="AC9" s="147">
        <f>IFERROR(SUMIFS('Employee Profile (2)'!$AE$4:$AE$50,'Employee Profile (2)'!$B$4:$B$50,Results!$D$3),"")</f>
        <v>0.40811965811965811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1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209.85714285714286</v>
      </c>
      <c r="N10" s="148">
        <f>IFERROR(SUMIFS('Employee Profile (2)'!D$4:D$50,'Employee Profile (2)'!$B$4:$B$50,Results!$D$3),"")</f>
        <v>0.44841269841269843</v>
      </c>
      <c r="O10" s="150" t="s">
        <v>621</v>
      </c>
      <c r="P10" s="143">
        <f>IFERROR(INDEX('Employee Profile (2)'!$AC$4:$AC$50,MATCH(Results!$D$3,'Employee Profile (2)'!$B$4:$B$50,0))*$Q10,"")</f>
        <v>137.42857142857144</v>
      </c>
      <c r="Q10" s="148">
        <f>IFERROR(SUMIFS('Employee Profile (2)'!K$4:K$50,'Employee Profile (2)'!$B$4:$B$50,Results!$D$3),"")</f>
        <v>0.29365079365079366</v>
      </c>
      <c r="R10" s="150" t="s">
        <v>628</v>
      </c>
      <c r="S10" s="144">
        <f>IFERROR(INDEX('Employee Profile (2)'!$AC$4:$AC$50,MATCH(Results!$D$3,'Employee Profile (2)'!$B$4:$B$50,0))*$T10,"")</f>
        <v>111.42857142857142</v>
      </c>
      <c r="T10" s="147">
        <f>IFERROR(SUMIFS('Employee Profile (2)'!O$4:O$50,'Employee Profile (2)'!$B$4:$B$50,Results!$D$3),"")</f>
        <v>0.23809523809523808</v>
      </c>
      <c r="U10" s="150" t="s">
        <v>633</v>
      </c>
      <c r="V10" s="144">
        <f>IFERROR(INDEX('Employee Profile (2)'!$AC$4:$AC$50,MATCH(Results!$D$3,'Employee Profile (2)'!$B$4:$B$50,0))*$W10,"")</f>
        <v>186.64285714285717</v>
      </c>
      <c r="W10" s="147">
        <f>IFERROR(SUMIFS('Employee Profile (2)'!T$4:T$50,'Employee Profile (2)'!$B$4:$B$50,Results!$D$3),"")</f>
        <v>0.39880952380952384</v>
      </c>
      <c r="X10" s="150" t="s">
        <v>636</v>
      </c>
      <c r="Y10" s="144">
        <f>IFERROR(INDEX('Employee Profile (2)'!$AC$4:$AC$50,MATCH(Results!$D$3,'Employee Profile (2)'!$B$4:$B$50,0))*$Z10,"")</f>
        <v>13.928571428571427</v>
      </c>
      <c r="Z10" s="147">
        <f>IFERROR(SUMIFS('Employee Profile (2)'!W$4:W$50,'Employee Profile (2)'!$B$4:$B$50,Results!$D$3),"")</f>
        <v>2.976190476190476E-2</v>
      </c>
      <c r="AA10" s="150" t="s">
        <v>676</v>
      </c>
      <c r="AB10" s="144">
        <f>IFERROR(INDEX('Employee Profile (2)'!$AC$4:$AC$50,MATCH(Results!$D$3,'Employee Profile (2)'!$B$4:$B$50))-$AB$9,"")</f>
        <v>277</v>
      </c>
      <c r="AC10" s="147">
        <f>IFERROR(100%-$AC$9,"")</f>
        <v>0.59188034188034189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33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51.071428571428569</v>
      </c>
      <c r="N11" s="148">
        <f>IFERROR(SUMIFS('Employee Profile (2)'!E$4:E$50,'Employee Profile (2)'!$B$4:$B$50,Results!$D$3),"")</f>
        <v>0.10912698412698413</v>
      </c>
      <c r="O11" s="150" t="s">
        <v>622</v>
      </c>
      <c r="P11" s="143">
        <f>IFERROR(INDEX('Employee Profile (2)'!$AC$4:$AC$50,MATCH(Results!$D$3,'Employee Profile (2)'!$B$4:$B$50,0))*$Q11,"")</f>
        <v>44.571428571428569</v>
      </c>
      <c r="Q11" s="148">
        <f>IFERROR(SUMIFS('Employee Profile (2)'!L$4:L$50,'Employee Profile (2)'!$B$4:$B$50,Results!$D$3),"")</f>
        <v>9.5238095238095233E-2</v>
      </c>
      <c r="R11" s="150" t="s">
        <v>629</v>
      </c>
      <c r="S11" s="144">
        <f>IFERROR(INDEX('Employee Profile (2)'!$AC$4:$AC$50,MATCH(Results!$D$3,'Employee Profile (2)'!$B$4:$B$50,0))*$T11,"")</f>
        <v>224.71428571428572</v>
      </c>
      <c r="T11" s="147">
        <f>IFERROR(SUMIFS('Employee Profile (2)'!P$4:P$50,'Employee Profile (2)'!$B$4:$B$50,Results!$D$3),"")</f>
        <v>0.48015873015873017</v>
      </c>
      <c r="U11" s="150" t="s">
        <v>53</v>
      </c>
      <c r="V11" s="144">
        <f>IFERROR(INDEX('Employee Profile (2)'!$AC$4:$AC$50,MATCH(Results!$D$3,'Employee Profile (2)'!$B$4:$B$50,0))*$W11,"")</f>
        <v>33.428571428571423</v>
      </c>
      <c r="W11" s="147">
        <f>IFERROR(SUMIFS('Employee Profile (2)'!U$4:U$50,'Employee Profile (2)'!$B$4:$B$50,Results!$D$3),"")</f>
        <v>7.1428571428571425E-2</v>
      </c>
      <c r="X11" s="150" t="s">
        <v>637</v>
      </c>
      <c r="Y11" s="144">
        <f>IFERROR(INDEX('Employee Profile (2)'!$AC$4:$AC$50,MATCH(Results!$D$3,'Employee Profile (2)'!$B$4:$B$50,0))*$Z11,"")</f>
        <v>4.6428571428571423</v>
      </c>
      <c r="Z11" s="147">
        <f>IFERROR(SUMIFS('Employee Profile (2)'!X$4:X$50,'Employee Profile (2)'!$B$4:$B$50,Results!$D$3),"")</f>
        <v>9.9206349206349201E-3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20</v>
      </c>
      <c r="I12" s="158">
        <v>1</v>
      </c>
      <c r="J12" s="158">
        <v>3</v>
      </c>
      <c r="L12" s="150" t="s">
        <v>659</v>
      </c>
      <c r="M12" s="143">
        <f>IFERROR(INDEX('Employee Profile (2)'!$AC$4:$AC$50,MATCH(Results!$D$3,'Employee Profile (2)'!$B$4:$B$50,0))*$N12,"")</f>
        <v>21.357142857142858</v>
      </c>
      <c r="N12" s="148">
        <f>IFERROR(SUMIFS('Employee Profile (2)'!F$4:F$50,'Employee Profile (2)'!$B$4:$B$50,Results!$D$3),"")</f>
        <v>4.5634920634920632E-2</v>
      </c>
      <c r="O12" s="150" t="s">
        <v>623</v>
      </c>
      <c r="P12" s="143">
        <f>IFERROR(INDEX('Employee Profile (2)'!$AC$4:$AC$50,MATCH(Results!$D$3,'Employee Profile (2)'!$B$4:$B$50,0))*$Q12,"")</f>
        <v>18.571428571428569</v>
      </c>
      <c r="Q12" s="148">
        <f>IFERROR(SUMIFS('Employee Profile (2)'!M$4:M$50,'Employee Profile (2)'!$B$4:$B$50,Results!$D$3),"")</f>
        <v>3.968253968253968E-2</v>
      </c>
      <c r="R12" s="150" t="s">
        <v>630</v>
      </c>
      <c r="S12" s="144">
        <f>IFERROR(INDEX('Employee Profile (2)'!$AC$4:$AC$50,MATCH(Results!$D$3,'Employee Profile (2)'!$B$4:$B$50,0))*$T12,"")</f>
        <v>13.928571428571427</v>
      </c>
      <c r="T12" s="147">
        <f>IFERROR(SUMIFS('Employee Profile (2)'!Q$4:Q$50,'Employee Profile (2)'!$B$4:$B$50,Results!$D$3),"")</f>
        <v>2.976190476190476E-2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45.5</v>
      </c>
      <c r="Z12" s="147">
        <f>IFERROR(SUMIFS('Employee Profile (2)'!Y$4:Y$50,'Employee Profile (2)'!$B$4:$B$50,Results!$D$3),"")</f>
        <v>9.7222222222222224E-2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29</v>
      </c>
      <c r="H13" s="158">
        <v>31</v>
      </c>
      <c r="I13" s="158">
        <v>1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11.142857142857142</v>
      </c>
      <c r="N13" s="148">
        <f>IFERROR(SUMIFS('Employee Profile (2)'!G$4:G$50,'Employee Profile (2)'!$B$4:$B$50,Results!$D$3),"")</f>
        <v>2.3809523809523808E-2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95.642857142857139</v>
      </c>
      <c r="T13" s="147">
        <f>IFERROR(SUMIFS('Employee Profile (2)'!R$4:R$50,'Employee Profile (2)'!$B$4:$B$50,Results!$D$3),"")</f>
        <v>0.20436507936507936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34.357142857142861</v>
      </c>
      <c r="Z13" s="147">
        <f>IFERROR(SUMIFS('Employee Profile (2)'!Z$4:Z$50,'Employee Profile (2)'!$B$4:$B$50,Results!$D$3),"")</f>
        <v>7.3412698412698416E-2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1.857142857142857</v>
      </c>
      <c r="N14" s="148">
        <f>IFERROR(SUMIFS('Employee Profile (2)'!H$4:H$50,'Employee Profile (2)'!$B$4:$B$50,Results!$D$3),"")</f>
        <v>3.968253968253968E-3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62</v>
      </c>
      <c r="H15" s="112">
        <f t="shared" ref="H15:J15" si="0">SUM(H9:H14)</f>
        <v>52</v>
      </c>
      <c r="I15" s="112">
        <f t="shared" si="0"/>
        <v>2</v>
      </c>
      <c r="J15" s="112">
        <f t="shared" si="0"/>
        <v>3</v>
      </c>
      <c r="L15" s="150" t="s">
        <v>53</v>
      </c>
      <c r="M15" s="143">
        <f>IFERROR(INDEX('Employee Profile (2)'!$AC$4:$AC$50,MATCH(Results!$D$3,'Employee Profile (2)'!$B$4:$B$50,0))*$N15,"")</f>
        <v>34.357142857142861</v>
      </c>
      <c r="N15" s="148">
        <f>IFERROR(SUMIFS('Employee Profile (2)'!I$4:I$50,'Employee Profile (2)'!$B$4:$B$50,Results!$D$3),"")</f>
        <v>7.3412698412698416E-2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62</v>
      </c>
      <c r="H16" s="82">
        <f>SUMIFS($W$64:$W$509,$C$64:$C$509,"Total")</f>
        <v>52</v>
      </c>
      <c r="I16" s="82">
        <f>SUMIFS($AE$64:$AE$509,$C$64:$C$509,"Total")</f>
        <v>2</v>
      </c>
      <c r="J16" s="82">
        <f>SUMIFS($AM$64:$AM$509,$C$64:$C$509,"Total")</f>
        <v>3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191</v>
      </c>
      <c r="G29" s="87">
        <f t="shared" ref="G29:G44" si="4">SUMIFS($K$64:$K$509,$A$64:$A$509,B29,$C$64:$C$509,"Total")</f>
        <v>497.45026178010471</v>
      </c>
      <c r="H29" s="83">
        <f t="shared" ref="H29:H44" si="5">SUMIFS($J$64:$J$509,$A$64:$A$509,B29,$C$64:$C$509,"Total")</f>
        <v>95013</v>
      </c>
      <c r="I29" s="21">
        <f t="shared" ref="I29:I44" si="6">-SUMIFS($O$64:$O$509,$A$64:$A$509,$B29,$C$64:$C$509,"Total")+SUMIFS($N$64:$N$509,$A$64:$A$509,$B29,$C$64:$C$509,"Total")</f>
        <v>-9</v>
      </c>
      <c r="J29" s="88">
        <f t="shared" ref="J29:J44" si="7">SUMIFS($P$64:$P$509,$A$64:$A$509,$B29,$C$64:$C$509,"Total")</f>
        <v>182</v>
      </c>
      <c r="K29" s="88">
        <f t="shared" ref="K29:K44" si="8">SUMIFS($M$64:$M$509,$A$64:$A$509,$B29,$C$64:$C$509,"Total")</f>
        <v>562.79674420840763</v>
      </c>
      <c r="L29" s="88">
        <f t="shared" ref="L29:L44" si="9">SUMIFS($R$64:$R$509,$A$64:$A$509,$B29,$C$64:$C$509,"Total")+SUMIFS($Q$64:$Q$509,$A$64:$A$509,$B29,$C$64:$C$509,"Total")</f>
        <v>224.39498930754417</v>
      </c>
      <c r="M29" s="88">
        <f t="shared" ref="M29:M44" si="10">SUMIFS($S$64:$S$509,$A$64:$A$509,$B29,$C$64:$C$509,"Total")</f>
        <v>102429.00744593018</v>
      </c>
      <c r="N29" s="88">
        <f t="shared" ref="N29:N44" si="11">SUMIFS($S$64:$S$509,$A$64:$A$509,$B29,$C$64:$C$509,"Compensation Budget")</f>
        <v>100424</v>
      </c>
      <c r="O29" s="89">
        <f t="shared" ref="O29:O44" si="12">SUMIFS($S$64:$S$509,$A$64:$A$509,$B29,$C$64:$C$509,"Under/(Over)")</f>
        <v>-2005.0074459301832</v>
      </c>
      <c r="P29" s="21">
        <f t="shared" ref="P29:P44" si="13">-SUMIFS($W$64:$W$509,$A$64:$A$509,$B29,$C$64:$C$509,"Total")+SUMIFS($V$64:$V$509,$A$64:$A$509,$B29,$C$64:$C$509,"Total")</f>
        <v>-22</v>
      </c>
      <c r="Q29" s="88">
        <f t="shared" ref="Q29:Q44" si="14">SUMIFS($X$64:$X$509,$A$64:$A$509,$B29,$C$64:$C$509,"Total")</f>
        <v>160</v>
      </c>
      <c r="R29" s="88">
        <f t="shared" ref="R29:R44" si="15">SUMIFS($U$64:$U$509,$A$64:$A$509,$B29,$C$64:$C$509,"Total")</f>
        <v>626.31089539516927</v>
      </c>
      <c r="S29" s="88">
        <f t="shared" ref="S29:S44" si="16">SUMIFS($Z$64:$Z$509,$A$64:$A$509,$B29,$C$64:$C$509,"Total")+SUMIFS($Y$64:$Y$509,$A$64:$A$509,$B29,$C$64:$C$509,"Total")</f>
        <v>-10561.911556661244</v>
      </c>
      <c r="T29" s="88">
        <f t="shared" ref="T29:T44" si="17">SUMIFS($AA$64:$AA$509,$A$64:$A$509,$B29,$C$64:$C$509,"Total")</f>
        <v>100209.74326322708</v>
      </c>
      <c r="U29" s="88">
        <f t="shared" ref="U29:U44" si="18">SUMIFS($AA$64:$AA$509,$A$64:$A$509,$B29,$C$64:$C$509,"Compensation Budget")</f>
        <v>98636</v>
      </c>
      <c r="V29" s="89">
        <f t="shared" ref="V29:V44" si="19">SUMIFS($AA$64:$AA$509,$A$64:$A$509,$B29,$C$64:$C$509,"Under/(Over)")</f>
        <v>-1573.7432632270793</v>
      </c>
      <c r="W29" s="21">
        <f t="shared" ref="W29:W44" si="20">-SUMIFS($AE$64:$AE$509,$A$64:$A$509,$B29,$C$64:$C$509,"Total")+SUMIFS($AD$64:$AD$509,$A$64:$A$509,$B29,$C$64:$C$509,"Total")</f>
        <v>1</v>
      </c>
      <c r="X29" s="88">
        <f t="shared" ref="X29:X44" si="21">SUMIFS($AF$64:$AF$509,$A$64:$A$509,$B29,$C$64:$C$509,"Total")</f>
        <v>161</v>
      </c>
      <c r="Y29" s="88">
        <f t="shared" ref="Y29:Y44" si="22">SUMIFS($AC$64:$AC$509,$A$64:$A$509,$B29,$C$64:$C$509,"Total")</f>
        <v>680.67219479645189</v>
      </c>
      <c r="Z29" s="88">
        <f t="shared" ref="Z29:Z44" si="23">SUMIFS($AH$64:$AH$509,$A$64:$A$509,$B29,$C$64:$C$509,"Total")+SUMIFS($AG$64:$AG$509,$A$64:$A$509,$B29,$C$64:$C$509,"Total")</f>
        <v>1342.6153166136787</v>
      </c>
      <c r="AA29" s="88">
        <f t="shared" ref="AA29:AA44" si="24">SUMIFS($AI$64:$AI$509,$A$64:$A$509,$B29,$C$64:$C$509,"Total")</f>
        <v>109588.22336222876</v>
      </c>
      <c r="AB29" s="88">
        <f t="shared" ref="AB29:AB44" si="25">SUMIFS($AI$64:$AI$509,$A$64:$A$509,$B29,$C$64:$C$509,"Compensation Budget")</f>
        <v>109647</v>
      </c>
      <c r="AC29" s="89">
        <f t="shared" ref="AC29:AC44" si="26">SUMIFS($AI$64:$AI$509,$A$64:$A$509,$B29,$C$64:$C$509,"Under/(Over)")</f>
        <v>58.776637771239621</v>
      </c>
      <c r="AD29" s="21">
        <f t="shared" ref="AD29:AD44" si="27">-SUMIFS($AM$64:$AM$509,$A$64:$A$509,$B29,$C$64:$C$509,"Total")+SUMIFS($AL$64:$AL$509,$A$64:$A$509,$B29,$C$64:$C$509,"Total")</f>
        <v>-1</v>
      </c>
      <c r="AE29" s="88">
        <f t="shared" ref="AE29:AE44" si="28">SUMIFS($AN$64:$AN$509,$A$64:$A$509,$B29,$C$64:$C$509,"Total")</f>
        <v>160</v>
      </c>
      <c r="AF29" s="88">
        <f t="shared" ref="AF29:AF44" si="29">SUMIFS($AK$64:$AK$509,$A$64:$A$509,$B29,$C$64:$C$509,"Total")</f>
        <v>736.88363089197435</v>
      </c>
      <c r="AG29" s="88">
        <f t="shared" ref="AG29:AG44" si="30">SUMIFS($AP$64:$AP$509,$A$64:$A$509,$B29,$C$64:$C$509,"Total")+SUMIFS($AO$64:$AO$509,$A$64:$A$509,$B29,$C$64:$C$509,"Total")</f>
        <v>-244.73478688293667</v>
      </c>
      <c r="AH29" s="88">
        <f t="shared" ref="AH29:AH44" si="31">SUMIFS($AQ$64:$AQ$509,$A$64:$A$509,$B29,$C$64:$C$509,"Total")</f>
        <v>117901.3809427159</v>
      </c>
      <c r="AI29" s="88">
        <f t="shared" ref="AI29:AI44" si="32">SUMIFS($AQ$64:$AQ$509,$A$64:$A$509,$B29,$C$64:$C$509,"Compensation Budget")</f>
        <v>117980.17200000001</v>
      </c>
      <c r="AJ29" s="89">
        <f t="shared" ref="AJ29:AJ44" si="33">SUMIFS($AQ$64:$AQ$509,$A$64:$A$509,$B29,$C$64:$C$509,"Under/(Over)")</f>
        <v>78.7910572841065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Institutional Governance</v>
      </c>
      <c r="D30" s="222">
        <f t="shared" si="2"/>
        <v>0</v>
      </c>
      <c r="E30" s="223">
        <f t="shared" si="2"/>
        <v>0</v>
      </c>
      <c r="F30" s="80">
        <f t="shared" si="3"/>
        <v>58</v>
      </c>
      <c r="G30" s="155">
        <f t="shared" si="4"/>
        <v>479.39229862068964</v>
      </c>
      <c r="H30" s="155">
        <f t="shared" si="5"/>
        <v>27804.75332</v>
      </c>
      <c r="I30" s="23">
        <f t="shared" si="6"/>
        <v>-8</v>
      </c>
      <c r="J30" s="22">
        <f t="shared" si="7"/>
        <v>50</v>
      </c>
      <c r="K30" s="22">
        <f t="shared" si="8"/>
        <v>605.80527178423836</v>
      </c>
      <c r="L30" s="22">
        <f t="shared" si="9"/>
        <v>385.48318980650038</v>
      </c>
      <c r="M30" s="22">
        <f t="shared" si="10"/>
        <v>30290.263589211918</v>
      </c>
      <c r="N30" s="22">
        <f t="shared" si="11"/>
        <v>35832</v>
      </c>
      <c r="O30" s="91">
        <f t="shared" si="12"/>
        <v>5541.7364107880821</v>
      </c>
      <c r="P30" s="23">
        <f t="shared" si="13"/>
        <v>-6</v>
      </c>
      <c r="Q30" s="22">
        <f t="shared" si="14"/>
        <v>44</v>
      </c>
      <c r="R30" s="22">
        <f t="shared" si="15"/>
        <v>683.61671562426648</v>
      </c>
      <c r="S30" s="22">
        <f t="shared" si="16"/>
        <v>-2687.3217812297539</v>
      </c>
      <c r="T30" s="22">
        <f t="shared" si="17"/>
        <v>30079.135487467724</v>
      </c>
      <c r="U30" s="22">
        <f t="shared" si="18"/>
        <v>35607</v>
      </c>
      <c r="V30" s="91">
        <f t="shared" si="19"/>
        <v>5527.8645125322764</v>
      </c>
      <c r="W30" s="23">
        <f t="shared" si="20"/>
        <v>1</v>
      </c>
      <c r="X30" s="22">
        <f t="shared" si="21"/>
        <v>45</v>
      </c>
      <c r="Y30" s="22">
        <f t="shared" si="22"/>
        <v>747.68546084879347</v>
      </c>
      <c r="Z30" s="22">
        <f t="shared" si="23"/>
        <v>1127.3449715483341</v>
      </c>
      <c r="AA30" s="22">
        <f t="shared" si="24"/>
        <v>33645.845738195705</v>
      </c>
      <c r="AB30" s="22">
        <f t="shared" si="25"/>
        <v>39453</v>
      </c>
      <c r="AC30" s="91">
        <f t="shared" si="26"/>
        <v>5807.1542618042949</v>
      </c>
      <c r="AD30" s="23">
        <f t="shared" si="27"/>
        <v>0</v>
      </c>
      <c r="AE30" s="22">
        <f t="shared" si="28"/>
        <v>45</v>
      </c>
      <c r="AF30" s="22">
        <f t="shared" si="29"/>
        <v>806.65819158349029</v>
      </c>
      <c r="AG30" s="22">
        <f t="shared" si="30"/>
        <v>0</v>
      </c>
      <c r="AH30" s="22">
        <f t="shared" si="31"/>
        <v>36299.618621257061</v>
      </c>
      <c r="AI30" s="22">
        <f t="shared" si="32"/>
        <v>42451.428</v>
      </c>
      <c r="AJ30" s="91">
        <f t="shared" si="33"/>
        <v>6151.8093787429389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Arts and Culture Promotion and Development</v>
      </c>
      <c r="D31" s="222">
        <f t="shared" si="2"/>
        <v>0</v>
      </c>
      <c r="E31" s="223">
        <f t="shared" si="2"/>
        <v>0</v>
      </c>
      <c r="F31" s="80">
        <f t="shared" si="3"/>
        <v>94</v>
      </c>
      <c r="G31" s="155">
        <f t="shared" si="4"/>
        <v>461.91489361702128</v>
      </c>
      <c r="H31" s="155">
        <f t="shared" si="5"/>
        <v>43420</v>
      </c>
      <c r="I31" s="23">
        <f t="shared" si="6"/>
        <v>-11</v>
      </c>
      <c r="J31" s="22">
        <f t="shared" si="7"/>
        <v>83</v>
      </c>
      <c r="K31" s="22">
        <f t="shared" si="8"/>
        <v>553.07174485043436</v>
      </c>
      <c r="L31" s="22">
        <f t="shared" si="9"/>
        <v>-1048.963875262787</v>
      </c>
      <c r="M31" s="22">
        <f t="shared" si="10"/>
        <v>45904.954822586056</v>
      </c>
      <c r="N31" s="22">
        <f t="shared" si="11"/>
        <v>48712</v>
      </c>
      <c r="O31" s="91">
        <f t="shared" si="12"/>
        <v>2807.0451774139437</v>
      </c>
      <c r="P31" s="23">
        <f t="shared" si="13"/>
        <v>-9</v>
      </c>
      <c r="Q31" s="22">
        <f t="shared" si="14"/>
        <v>74</v>
      </c>
      <c r="R31" s="22">
        <f t="shared" si="15"/>
        <v>627.03434762495669</v>
      </c>
      <c r="S31" s="22">
        <f t="shared" si="16"/>
        <v>-3331.5963018315069</v>
      </c>
      <c r="T31" s="22">
        <f t="shared" si="17"/>
        <v>46400.541724246796</v>
      </c>
      <c r="U31" s="22">
        <f t="shared" si="18"/>
        <v>48262</v>
      </c>
      <c r="V31" s="91">
        <f t="shared" si="19"/>
        <v>1861.4582757532044</v>
      </c>
      <c r="W31" s="23">
        <f t="shared" si="20"/>
        <v>0</v>
      </c>
      <c r="X31" s="22">
        <f t="shared" si="21"/>
        <v>74</v>
      </c>
      <c r="Y31" s="22">
        <f t="shared" si="22"/>
        <v>678.59102651957119</v>
      </c>
      <c r="Z31" s="22">
        <f t="shared" si="23"/>
        <v>0</v>
      </c>
      <c r="AA31" s="22">
        <f t="shared" si="24"/>
        <v>50215.735962448271</v>
      </c>
      <c r="AB31" s="22">
        <f t="shared" si="25"/>
        <v>50315</v>
      </c>
      <c r="AC31" s="91">
        <f t="shared" si="26"/>
        <v>99.264037551729416</v>
      </c>
      <c r="AD31" s="23">
        <f t="shared" si="27"/>
        <v>-1</v>
      </c>
      <c r="AE31" s="22">
        <f t="shared" si="28"/>
        <v>73</v>
      </c>
      <c r="AF31" s="22">
        <f t="shared" si="29"/>
        <v>734.23617684162366</v>
      </c>
      <c r="AG31" s="22">
        <f t="shared" si="30"/>
        <v>-644.26814838949542</v>
      </c>
      <c r="AH31" s="22">
        <f t="shared" si="31"/>
        <v>53599.240909438529</v>
      </c>
      <c r="AI31" s="22">
        <f t="shared" si="32"/>
        <v>54138.94</v>
      </c>
      <c r="AJ31" s="91">
        <f t="shared" si="33"/>
        <v>539.69909056147299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Heritage Promotion and Preservation</v>
      </c>
      <c r="D32" s="222">
        <f t="shared" si="2"/>
        <v>0</v>
      </c>
      <c r="E32" s="223">
        <f t="shared" si="2"/>
        <v>0</v>
      </c>
      <c r="F32" s="80">
        <f t="shared" si="3"/>
        <v>125</v>
      </c>
      <c r="G32" s="155">
        <f t="shared" si="4"/>
        <v>384.904</v>
      </c>
      <c r="H32" s="155">
        <f t="shared" si="5"/>
        <v>48113</v>
      </c>
      <c r="I32" s="23">
        <f t="shared" si="6"/>
        <v>-4</v>
      </c>
      <c r="J32" s="22">
        <f t="shared" si="7"/>
        <v>121</v>
      </c>
      <c r="K32" s="22">
        <f t="shared" si="8"/>
        <v>445.59991754132375</v>
      </c>
      <c r="L32" s="22">
        <f t="shared" si="9"/>
        <v>2031.168419598969</v>
      </c>
      <c r="M32" s="22">
        <f t="shared" si="10"/>
        <v>53917.590022500175</v>
      </c>
      <c r="N32" s="22">
        <f t="shared" si="11"/>
        <v>53374</v>
      </c>
      <c r="O32" s="91">
        <f t="shared" si="12"/>
        <v>-543.59002250017511</v>
      </c>
      <c r="P32" s="23">
        <f t="shared" si="13"/>
        <v>-15</v>
      </c>
      <c r="Q32" s="22">
        <f t="shared" si="14"/>
        <v>106</v>
      </c>
      <c r="R32" s="22">
        <f t="shared" si="15"/>
        <v>501.40590833579199</v>
      </c>
      <c r="S32" s="22">
        <f t="shared" si="16"/>
        <v>-5221.5757550218486</v>
      </c>
      <c r="T32" s="22">
        <f t="shared" si="17"/>
        <v>53149.02628359395</v>
      </c>
      <c r="U32" s="22">
        <f t="shared" si="18"/>
        <v>52544</v>
      </c>
      <c r="V32" s="91">
        <f t="shared" si="19"/>
        <v>-605.02628359395021</v>
      </c>
      <c r="W32" s="23">
        <f t="shared" si="20"/>
        <v>1</v>
      </c>
      <c r="X32" s="22">
        <f t="shared" si="21"/>
        <v>107</v>
      </c>
      <c r="Y32" s="22">
        <f t="shared" si="22"/>
        <v>538.49739093511209</v>
      </c>
      <c r="Z32" s="22">
        <f t="shared" si="23"/>
        <v>129.37430282346281</v>
      </c>
      <c r="AA32" s="22">
        <f t="shared" si="24"/>
        <v>57619.220830056991</v>
      </c>
      <c r="AB32" s="22">
        <f t="shared" si="25"/>
        <v>56988</v>
      </c>
      <c r="AC32" s="91">
        <f t="shared" si="26"/>
        <v>-631.22083005699096</v>
      </c>
      <c r="AD32" s="23">
        <f t="shared" si="27"/>
        <v>0</v>
      </c>
      <c r="AE32" s="22">
        <f t="shared" si="28"/>
        <v>107</v>
      </c>
      <c r="AF32" s="22">
        <f t="shared" si="29"/>
        <v>585.89624776779408</v>
      </c>
      <c r="AG32" s="22">
        <f t="shared" si="30"/>
        <v>481.56151713685722</v>
      </c>
      <c r="AH32" s="22">
        <f t="shared" si="31"/>
        <v>62690.898511153966</v>
      </c>
      <c r="AI32" s="22">
        <f t="shared" si="32"/>
        <v>61319.088000000003</v>
      </c>
      <c r="AJ32" s="91">
        <f t="shared" si="33"/>
        <v>-1371.8105111539626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468</v>
      </c>
      <c r="G45" s="92">
        <f>IFERROR(H45/F45,0)</f>
        <v>458.01443017094022</v>
      </c>
      <c r="H45" s="92">
        <f>SUM(H29:H38)</f>
        <v>214350.75332000002</v>
      </c>
      <c r="I45" s="25">
        <f>SUM(I29:I38)</f>
        <v>-32</v>
      </c>
      <c r="J45" s="92">
        <f>SUM(J29:J38)</f>
        <v>436</v>
      </c>
      <c r="K45" s="92">
        <f>IFERROR(M45/J45,0)</f>
        <v>533.35278871612002</v>
      </c>
      <c r="L45" s="92">
        <f t="shared" ref="L45:Q45" si="34">SUM(L29:L38)</f>
        <v>1592.0827234502265</v>
      </c>
      <c r="M45" s="92">
        <f t="shared" si="34"/>
        <v>232541.81588022833</v>
      </c>
      <c r="N45" s="92">
        <f>INDEX('ENE17'!$C$2:$C$48,MATCH(Results!$D$3,'ENE17'!$A$2:$A$48,0))</f>
        <v>238342</v>
      </c>
      <c r="O45" s="129">
        <f>N45-M45</f>
        <v>5800.1841197716712</v>
      </c>
      <c r="P45" s="25">
        <f t="shared" si="34"/>
        <v>-52</v>
      </c>
      <c r="Q45" s="24">
        <f t="shared" si="34"/>
        <v>384</v>
      </c>
      <c r="R45" s="92">
        <f>IFERROR(T45/Q45,0)</f>
        <v>598.53762176701969</v>
      </c>
      <c r="S45" s="24">
        <f>SUM(S29:S38)</f>
        <v>-21802.405394744354</v>
      </c>
      <c r="T45" s="24">
        <f>SUM(T29:T38)</f>
        <v>229838.44675853557</v>
      </c>
      <c r="U45" s="207">
        <f>INDEX('ENE17'!$D$2:$D$48,MATCH(Results!$D$3,'ENE17'!$A$2:$A$48,0))</f>
        <v>232464</v>
      </c>
      <c r="V45" s="24">
        <f>U45-T45</f>
        <v>2625.5532414644258</v>
      </c>
      <c r="W45" s="25">
        <f t="shared" ref="W45:X45" si="35">SUM(W29:W38)</f>
        <v>3</v>
      </c>
      <c r="X45" s="24">
        <f t="shared" si="35"/>
        <v>387</v>
      </c>
      <c r="Y45" s="92">
        <f>IFERROR(AA45/X45,0)</f>
        <v>648.75717284994766</v>
      </c>
      <c r="Z45" s="24">
        <f t="shared" ref="Z45:AA45" si="36">SUM(Z29:Z38)</f>
        <v>2599.3345909854761</v>
      </c>
      <c r="AA45" s="24">
        <f t="shared" si="36"/>
        <v>251069.02589292973</v>
      </c>
      <c r="AB45" s="207">
        <f>INDEX('ENE17'!$E$2:$E$48,MATCH(Results!$D$3,'ENE17'!$A$2:$A$48,0))</f>
        <v>253530</v>
      </c>
      <c r="AC45" s="24">
        <f>AB45-AA45</f>
        <v>2460.974107070273</v>
      </c>
      <c r="AD45" s="25">
        <f t="shared" ref="AD45:AE45" si="37">SUM(AD29:AD38)</f>
        <v>-2</v>
      </c>
      <c r="AE45" s="24">
        <f t="shared" si="37"/>
        <v>385</v>
      </c>
      <c r="AF45" s="92">
        <f>IFERROR(AH45/AE45,0)</f>
        <v>702.57438697289729</v>
      </c>
      <c r="AG45" s="24">
        <f t="shared" ref="AG45:AH45" si="38">SUM(AG29:AG38)</f>
        <v>-407.44141813557485</v>
      </c>
      <c r="AH45" s="24">
        <f t="shared" si="38"/>
        <v>270491.13898456545</v>
      </c>
      <c r="AI45" s="207">
        <f>INDEX('ENE17'!$F$2:$F$48,MATCH(Results!$D$3,'ENE17'!$A$2:$A$48,0))</f>
        <v>272858</v>
      </c>
      <c r="AJ45" s="24">
        <f>AI45-AH45</f>
        <v>2366.8610154345515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98</v>
      </c>
      <c r="G51" s="193">
        <f>IFERROR(H51/F51,"")</f>
        <v>178.5204081632653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17495</v>
      </c>
      <c r="I51" s="97">
        <f>SUMIFS($N$64:$N$509,$B$64:$B$509,$B51)-SUMIFS($O$64:$O$509,$B$64:$B$509,$B51)</f>
        <v>0</v>
      </c>
      <c r="J51" s="80">
        <f>SUMIFS($P$64:$P$509,$B$64:$B$509,$B51)</f>
        <v>98</v>
      </c>
      <c r="K51" s="80">
        <f>IFERROR(M51/J51,0)</f>
        <v>199.448307448745</v>
      </c>
      <c r="L51" s="80">
        <f>SUMIFS($R$64:$R$509,$B$64:$B$509,$B51)+SUMIFS($Q$64:$Q$509,$B$64:$B$509,$B51)</f>
        <v>507.06338142205993</v>
      </c>
      <c r="M51" s="98">
        <f>SUMIFS($S$64:$S$509,$B$64:$B$509,$B51)</f>
        <v>19545.934129977009</v>
      </c>
      <c r="N51" s="80">
        <f>SUMIFS($V$64:$V$509,$B$64:$B$509,$B51)-SUMIFS($W$64:$W$509,$B$64:$B$509,$B51)</f>
        <v>-29</v>
      </c>
      <c r="O51" s="80">
        <f>SUMIFS($X$64:$X$509,$B$64:$B$509,$B51)</f>
        <v>69</v>
      </c>
      <c r="P51" s="80">
        <f>IFERROR(R51/O51,0)</f>
        <v>225.76155002309042</v>
      </c>
      <c r="Q51" s="80">
        <f>SUMIFS($Z$64:$Z$509,$B$64:$B$509,$B51)+SUMIFS($Y$64:$Y$509,$B$64:$B$509,$B51)</f>
        <v>-5628.4604815581943</v>
      </c>
      <c r="R51" s="80">
        <f>SUMIFS($AA$64:$AA$509,$B$64:$B$509,$B51)</f>
        <v>15577.546951593238</v>
      </c>
      <c r="S51" s="97">
        <f>SUMIFS($AD$64:$AD$509,$B$64:$B$509,$B51)-SUMIFS($AE$64:$AE$509,$B$64:$B$509,$B51)</f>
        <v>1</v>
      </c>
      <c r="T51" s="80">
        <f>SUMIFS($AF$64:$AF$509,$B$64:$B$509,$B51)</f>
        <v>70</v>
      </c>
      <c r="U51" s="80">
        <f>IFERROR(W51/T51,0)</f>
        <v>243.02847883765071</v>
      </c>
      <c r="V51" s="80">
        <f>SUMIFS($AH$64:$AH$509,$B$64:$B$509,$B51)+SUMIFS($AG$64:$AG$509,$B$64:$B$509,$B51)</f>
        <v>129.37430282346281</v>
      </c>
      <c r="W51" s="98">
        <f>SUMIFS($AI$64:$AI$509,$B$64:$B$509,$B51)</f>
        <v>17011.993518635551</v>
      </c>
      <c r="X51" s="80">
        <f>SUMIFS($AL$64:$AL$509,$B$64:$B$509,$B51)-SUMIFS($AM$64:$AM$509,$B$64:$B$509,$B51)</f>
        <v>-2</v>
      </c>
      <c r="Y51" s="80">
        <f>SUMIFS($AN$64:$AN$509,$B$64:$B$509,$B51)</f>
        <v>68</v>
      </c>
      <c r="Z51" s="80">
        <f>IFERROR(AB51/Y51,0)</f>
        <v>263.39310541129225</v>
      </c>
      <c r="AA51" s="80">
        <f>SUMIFS($AP$64:$AP$509,$B$64:$B$509,$B51)+SUMIFS($AO$64:$AO$509,$B$64:$B$509,$B51)</f>
        <v>-491.89134873611954</v>
      </c>
      <c r="AB51" s="98">
        <f>SUMIFS($AQ$64:$AQ$509,$B$64:$B$509,$B51)</f>
        <v>17910.731167967871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203</v>
      </c>
      <c r="G52" s="192">
        <f t="shared" ref="G52:G55" si="40">IFERROR(H52/F52,"")</f>
        <v>364.73277497536947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74040.753320000003</v>
      </c>
      <c r="I52" s="97">
        <f>SUMIFS($N$64:$N$509,$B$64:$B$509,$B52)-SUMIFS($O$64:$O$509,$B$64:$B$509,$B52)</f>
        <v>-6</v>
      </c>
      <c r="J52" s="80">
        <f>SUMIFS($P$64:$P$509,$B$64:$B$509,$B52)</f>
        <v>197</v>
      </c>
      <c r="K52" s="80">
        <f t="shared" ref="K52:K56" si="41">IFERROR(M52/J52,0)</f>
        <v>403.39537932581834</v>
      </c>
      <c r="L52" s="80">
        <f>SUMIFS($R$64:$R$509,$B$64:$B$509,$B52)+SUMIFS($Q$64:$Q$509,$B$64:$B$509,$B52)</f>
        <v>-1180.6208726511577</v>
      </c>
      <c r="M52" s="98">
        <f>SUMIFS($S$64:$S$509,$B$64:$B$509,$B52)</f>
        <v>79468.889727186208</v>
      </c>
      <c r="N52" s="80">
        <f>SUMIFS($V$64:$V$509,$B$64:$B$509,$B52)-SUMIFS($W$64:$W$509,$B$64:$B$509,$B52)</f>
        <v>-13</v>
      </c>
      <c r="O52" s="80">
        <f>SUMIFS($X$64:$X$509,$B$64:$B$509,$B52)</f>
        <v>184</v>
      </c>
      <c r="P52" s="80">
        <f t="shared" ref="P52:P55" si="42">IFERROR(R52/O52,0)</f>
        <v>438.12375043735346</v>
      </c>
      <c r="Q52" s="80">
        <f>SUMIFS($Z$64:$Z$509,$B$64:$B$509,$B52)+SUMIFS($Y$64:$Y$509,$B$64:$B$509,$B52)</f>
        <v>-5626.7627539206969</v>
      </c>
      <c r="R52" s="80">
        <f>SUMIFS($AA$64:$AA$509,$B$64:$B$509,$B52)</f>
        <v>80614.770080473041</v>
      </c>
      <c r="S52" s="97">
        <f>SUMIFS($AD$64:$AD$509,$B$64:$B$509,$B52)-SUMIFS($AE$64:$AE$509,$B$64:$B$509,$B52)</f>
        <v>1</v>
      </c>
      <c r="T52" s="80">
        <f>SUMIFS($AF$64:$AF$509,$B$64:$B$509,$B52)</f>
        <v>185</v>
      </c>
      <c r="U52" s="80">
        <f t="shared" ref="U52:U55" si="43">IFERROR(W52/T52,0)</f>
        <v>474.93215580263524</v>
      </c>
      <c r="V52" s="80">
        <f>SUMIFS($AH$64:$AH$509,$B$64:$B$509,$B52)+SUMIFS($AG$64:$AG$509,$B$64:$B$509,$B52)</f>
        <v>459.19950251254653</v>
      </c>
      <c r="W52" s="98">
        <f>SUMIFS($AI$64:$AI$509,$B$64:$B$509,$B52)</f>
        <v>87862.448823487517</v>
      </c>
      <c r="X52" s="80">
        <f>SUMIFS($AL$64:$AL$509,$B$64:$B$509,$B52)-SUMIFS($AM$64:$AM$509,$B$64:$B$509,$B52)</f>
        <v>0</v>
      </c>
      <c r="Y52" s="80">
        <f>SUMIFS($AN$64:$AN$509,$B$64:$B$509,$B52)</f>
        <v>185</v>
      </c>
      <c r="Z52" s="80">
        <f t="shared" ref="Z52:Z55" si="44">IFERROR(AB52/Y52,0)</f>
        <v>514.41942542333743</v>
      </c>
      <c r="AA52" s="80">
        <f>SUMIFS($AP$64:$AP$509,$B$64:$B$509,$B52)+SUMIFS($AO$64:$AO$509,$B$64:$B$509,$B52)</f>
        <v>84.44993060054469</v>
      </c>
      <c r="AB52" s="98">
        <f>SUMIFS($AQ$64:$AQ$509,$B$64:$B$509,$B52)</f>
        <v>95167.593703317427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89</v>
      </c>
      <c r="G53" s="192">
        <f t="shared" si="40"/>
        <v>678.4606741573034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60383</v>
      </c>
      <c r="I53" s="97">
        <f>SUMIFS($N$64:$N$509,$B$64:$B$509,$B53)-SUMIFS($O$64:$O$509,$B$64:$B$509,$B53)</f>
        <v>0</v>
      </c>
      <c r="J53" s="80">
        <f>SUMIFS($P$64:$P$509,$B$64:$B$509,$B53)</f>
        <v>89</v>
      </c>
      <c r="K53" s="80">
        <f t="shared" si="41"/>
        <v>739.14683273300545</v>
      </c>
      <c r="L53" s="80">
        <f>SUMIFS($R$64:$R$509,$B$64:$B$509,$B53)+SUMIFS($Q$64:$Q$509,$B$64:$B$509,$B53)</f>
        <v>-128.59630335332986</v>
      </c>
      <c r="M53" s="98">
        <f>SUMIFS($S$64:$S$509,$B$64:$B$509,$B53)</f>
        <v>65784.068113237488</v>
      </c>
      <c r="N53" s="80">
        <f>SUMIFS($V$64:$V$509,$B$64:$B$509,$B53)-SUMIFS($W$64:$W$509,$B$64:$B$509,$B53)</f>
        <v>-6</v>
      </c>
      <c r="O53" s="80">
        <f>SUMIFS($X$64:$X$509,$B$64:$B$509,$B53)</f>
        <v>83</v>
      </c>
      <c r="P53" s="80">
        <f t="shared" si="42"/>
        <v>795.3502451843375</v>
      </c>
      <c r="Q53" s="80">
        <f>SUMIFS($Z$64:$Z$509,$B$64:$B$509,$B53)+SUMIFS($Y$64:$Y$509,$B$64:$B$509,$B53)</f>
        <v>-5393.2908630040638</v>
      </c>
      <c r="R53" s="80">
        <f>SUMIFS($AA$64:$AA$509,$B$64:$B$509,$B53)</f>
        <v>66014.070350300011</v>
      </c>
      <c r="S53" s="97">
        <f>SUMIFS($AD$64:$AD$509,$B$64:$B$509,$B53)-SUMIFS($AE$64:$AE$509,$B$64:$B$509,$B53)</f>
        <v>-1</v>
      </c>
      <c r="T53" s="80">
        <f>SUMIFS($AF$64:$AF$509,$B$64:$B$509,$B53)</f>
        <v>82</v>
      </c>
      <c r="U53" s="80">
        <f t="shared" si="43"/>
        <v>860.71618366282223</v>
      </c>
      <c r="V53" s="80">
        <f>SUMIFS($AH$64:$AH$509,$B$64:$B$509,$B53)+SUMIFS($AG$64:$AG$509,$B$64:$B$509,$B53)</f>
        <v>-1011.2723220562226</v>
      </c>
      <c r="W53" s="98">
        <f>SUMIFS($AI$64:$AI$509,$B$64:$B$509,$B53)</f>
        <v>70578.727060351419</v>
      </c>
      <c r="X53" s="80">
        <f>SUMIFS($AL$64:$AL$509,$B$64:$B$509,$B53)-SUMIFS($AM$64:$AM$509,$B$64:$B$509,$B53)</f>
        <v>0</v>
      </c>
      <c r="Y53" s="80">
        <f>SUMIFS($AN$64:$AN$509,$B$64:$B$509,$B53)</f>
        <v>82</v>
      </c>
      <c r="Z53" s="80">
        <f t="shared" si="44"/>
        <v>931.66953599086446</v>
      </c>
      <c r="AA53" s="80">
        <f>SUMIFS($AP$64:$AP$509,$B$64:$B$509,$B53)+SUMIFS($AO$64:$AO$509,$B$64:$B$509,$B53)</f>
        <v>0</v>
      </c>
      <c r="AB53" s="98">
        <f>SUMIFS($AQ$64:$AQ$509,$B$64:$B$509,$B53)</f>
        <v>76396.901951250882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48</v>
      </c>
      <c r="G54" s="192">
        <f t="shared" si="40"/>
        <v>1186.1875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56937</v>
      </c>
      <c r="I54" s="97">
        <f>SUMIFS($N$64:$N$509,$B$64:$B$509,$B54)-SUMIFS($O$64:$O$509,$B$64:$B$509,$B54)</f>
        <v>2</v>
      </c>
      <c r="J54" s="80">
        <f>SUMIFS($P$64:$P$509,$B$64:$B$509,$B54)</f>
        <v>50</v>
      </c>
      <c r="K54" s="80">
        <f t="shared" si="41"/>
        <v>1268.0038381965524</v>
      </c>
      <c r="L54" s="80">
        <f>SUMIFS($R$64:$R$509,$B$64:$B$509,$B54)+SUMIFS($Q$64:$Q$509,$B$64:$B$509,$B54)</f>
        <v>3727.8395180326534</v>
      </c>
      <c r="M54" s="98">
        <f>SUMIFS($S$64:$S$509,$B$64:$B$509,$B54)</f>
        <v>63400.191909827619</v>
      </c>
      <c r="N54" s="80">
        <f>SUMIFS($V$64:$V$509,$B$64:$B$509,$B54)-SUMIFS($W$64:$W$509,$B$64:$B$509,$B54)</f>
        <v>-4</v>
      </c>
      <c r="O54" s="80">
        <f>SUMIFS($X$64:$X$509,$B$64:$B$509,$B54)</f>
        <v>46</v>
      </c>
      <c r="P54" s="80">
        <f t="shared" si="42"/>
        <v>1370.1905099167229</v>
      </c>
      <c r="Q54" s="80">
        <f>SUMIFS($Z$64:$Z$509,$B$64:$B$509,$B54)+SUMIFS($Y$64:$Y$509,$B$64:$B$509,$B54)</f>
        <v>-5153.8912962613995</v>
      </c>
      <c r="R54" s="80">
        <f>SUMIFS($AA$64:$AA$509,$B$64:$B$509,$B54)</f>
        <v>63028.763456169254</v>
      </c>
      <c r="S54" s="97">
        <f>SUMIFS($AD$64:$AD$509,$B$64:$B$509,$B54)-SUMIFS($AE$64:$AE$509,$B$64:$B$509,$B54)</f>
        <v>2</v>
      </c>
      <c r="T54" s="80">
        <f>SUMIFS($AF$64:$AF$509,$B$64:$B$509,$B54)</f>
        <v>48</v>
      </c>
      <c r="U54" s="80">
        <f t="shared" si="43"/>
        <v>1473.770127316151</v>
      </c>
      <c r="V54" s="80">
        <f>SUMIFS($AH$64:$AH$509,$B$64:$B$509,$B54)+SUMIFS($AG$64:$AG$509,$B$64:$B$509,$B54)</f>
        <v>3022.0331077056885</v>
      </c>
      <c r="W54" s="98">
        <f>SUMIFS($AI$64:$AI$509,$B$64:$B$509,$B54)</f>
        <v>70740.96611117525</v>
      </c>
      <c r="X54" s="80">
        <f>SUMIFS($AL$64:$AL$509,$B$64:$B$509,$B54)-SUMIFS($AM$64:$AM$509,$B$64:$B$509,$B54)</f>
        <v>0</v>
      </c>
      <c r="Y54" s="80">
        <f>SUMIFS($AN$64:$AN$509,$B$64:$B$509,$B54)</f>
        <v>48</v>
      </c>
      <c r="Z54" s="80">
        <f t="shared" si="44"/>
        <v>1580.4823548152151</v>
      </c>
      <c r="AA54" s="80">
        <f>SUMIFS($AP$64:$AP$509,$B$64:$B$509,$B54)+SUMIFS($AO$64:$AO$509,$B$64:$B$509,$B54)</f>
        <v>0</v>
      </c>
      <c r="AB54" s="98">
        <f>SUMIFS($AQ$64:$AQ$509,$B$64:$B$509,$B54)</f>
        <v>75863.153031130321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30</v>
      </c>
      <c r="G55" s="192">
        <f t="shared" si="40"/>
        <v>183.16666666666666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5495</v>
      </c>
      <c r="I55" s="101">
        <f>SUMIFS($N$64:$N$509,$B$64:$B$509,$B55)-SUMIFS($O$64:$O$509,$B$64:$B$509,$B55)</f>
        <v>-28</v>
      </c>
      <c r="J55" s="102">
        <f>SUMIFS($P$64:$P$509,$B$64:$B$509,$B55)</f>
        <v>2</v>
      </c>
      <c r="K55" s="102">
        <f t="shared" si="41"/>
        <v>2171.366</v>
      </c>
      <c r="L55" s="102">
        <f>SUMIFS($R$64:$R$509,$B$64:$B$509,$B55)+SUMIFS($Q$64:$Q$509,$B$64:$B$509,$B55)</f>
        <v>-1333.6030000000001</v>
      </c>
      <c r="M55" s="103">
        <f>SUMIFS($S$64:$S$509,$B$64:$B$509,$B55)</f>
        <v>4342.732</v>
      </c>
      <c r="N55" s="80">
        <f>SUMIFS($V$64:$V$509,$B$64:$B$509,$B55)-SUMIFS($W$64:$W$509,$B$64:$B$509,$B55)</f>
        <v>0</v>
      </c>
      <c r="O55" s="80">
        <f>SUMIFS($X$64:$X$509,$B$64:$B$509,$B55)</f>
        <v>2</v>
      </c>
      <c r="P55" s="80">
        <f t="shared" si="42"/>
        <v>2301.6479599999998</v>
      </c>
      <c r="Q55" s="80">
        <f>SUMIFS($Z$64:$Z$509,$B$64:$B$509,$B55)+SUMIFS($Y$64:$Y$509,$B$64:$B$509,$B55)</f>
        <v>0</v>
      </c>
      <c r="R55" s="80">
        <f>SUMIFS($AA$64:$AA$509,$B$64:$B$509,$B55)</f>
        <v>4603.2959199999996</v>
      </c>
      <c r="S55" s="101">
        <f>SUMIFS($AD$64:$AD$509,$B$64:$B$509,$B55)-SUMIFS($AE$64:$AE$509,$B$64:$B$509,$B55)</f>
        <v>0</v>
      </c>
      <c r="T55" s="102">
        <f>SUMIFS($AF$64:$AF$509,$B$64:$B$509,$B55)</f>
        <v>2</v>
      </c>
      <c r="U55" s="102">
        <f t="shared" si="43"/>
        <v>2437.4451896399996</v>
      </c>
      <c r="V55" s="102">
        <f>SUMIFS($AH$64:$AH$509,$B$64:$B$509,$B55)+SUMIFS($AG$64:$AG$509,$B$64:$B$509,$B55)</f>
        <v>0</v>
      </c>
      <c r="W55" s="103">
        <f>SUMIFS($AI$64:$AI$509,$B$64:$B$509,$B55)</f>
        <v>4874.8903792799993</v>
      </c>
      <c r="X55" s="80">
        <f>SUMIFS($AL$64:$AL$509,$B$64:$B$509,$B55)-SUMIFS($AM$64:$AM$509,$B$64:$B$509,$B55)</f>
        <v>0</v>
      </c>
      <c r="Y55" s="80">
        <f>SUMIFS($AN$64:$AN$509,$B$64:$B$509,$B55)</f>
        <v>2</v>
      </c>
      <c r="Z55" s="80">
        <f t="shared" si="44"/>
        <v>2576.3795654494797</v>
      </c>
      <c r="AA55" s="80">
        <f>SUMIFS($AP$64:$AP$509,$B$64:$B$509,$B55)+SUMIFS($AO$64:$AO$509,$B$64:$B$509,$B55)</f>
        <v>0</v>
      </c>
      <c r="AB55" s="98">
        <f>SUMIFS($AQ$64:$AQ$509,$B$64:$B$509,$B55)</f>
        <v>5152.7591308989595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468</v>
      </c>
      <c r="G56" s="92">
        <f t="shared" ref="G56" si="45">IFERROR(H56/F56,0)</f>
        <v>458.01443017094022</v>
      </c>
      <c r="H56" s="92">
        <f>SUM(H51:H55)</f>
        <v>214350.75332000002</v>
      </c>
      <c r="I56" s="92">
        <f>SUM(I51:I55)</f>
        <v>-32</v>
      </c>
      <c r="J56" s="92">
        <f>SUM(J51:J55)</f>
        <v>436</v>
      </c>
      <c r="K56" s="92">
        <f t="shared" si="41"/>
        <v>533.3527887161199</v>
      </c>
      <c r="L56" s="92">
        <f>SUM(L51:L55)</f>
        <v>1592.0827234502258</v>
      </c>
      <c r="M56" s="92">
        <f>SUM(M51:M55)</f>
        <v>232541.8158802283</v>
      </c>
      <c r="N56" s="92">
        <f t="shared" ref="N56:O56" si="46">SUM(N51:N55)</f>
        <v>-52</v>
      </c>
      <c r="O56" s="92">
        <f t="shared" si="46"/>
        <v>384</v>
      </c>
      <c r="P56" s="92">
        <f>IFERROR(R56/O56,0)</f>
        <v>598.53762176701969</v>
      </c>
      <c r="Q56" s="92">
        <f t="shared" ref="Q56" si="47">SUM(Q51:Q55)</f>
        <v>-21802.405394744354</v>
      </c>
      <c r="R56" s="92">
        <f t="shared" ref="R56:T56" si="48">SUM(R51:R55)</f>
        <v>229838.44675853555</v>
      </c>
      <c r="S56" s="92">
        <f t="shared" si="48"/>
        <v>3</v>
      </c>
      <c r="T56" s="92">
        <f t="shared" si="48"/>
        <v>387</v>
      </c>
      <c r="U56" s="92">
        <f>IFERROR(W56/T56,0)</f>
        <v>648.75717284994766</v>
      </c>
      <c r="V56" s="92">
        <f t="shared" ref="V56" si="49">SUM(V51:V55)</f>
        <v>2599.3345909854752</v>
      </c>
      <c r="W56" s="92">
        <f t="shared" ref="W56:Y56" si="50">SUM(W51:W55)</f>
        <v>251069.02589292973</v>
      </c>
      <c r="X56" s="92">
        <f t="shared" si="50"/>
        <v>-2</v>
      </c>
      <c r="Y56" s="92">
        <f t="shared" si="50"/>
        <v>385</v>
      </c>
      <c r="Z56" s="92">
        <f>IFERROR(AB56/Y56,0)</f>
        <v>702.5743869728974</v>
      </c>
      <c r="AA56" s="92">
        <f t="shared" ref="AA56" si="51">SUM(AA51:AA55)</f>
        <v>-407.44141813557485</v>
      </c>
      <c r="AB56" s="104">
        <f t="shared" ref="AB56" si="52">SUM(AB51:AB55)</f>
        <v>270491.13898456551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11</v>
      </c>
      <c r="G64" s="35">
        <f>SUMIFS(WORKING!$AC$3:$AC$6802,WORKING!$A$3:$A$6802,Results!$D$3,WORKING!$B$3:$B$6802,Results!A64,WORKING!$C$3:$C$6802,Results!C64)/1000</f>
        <v>1448.0881900000002</v>
      </c>
      <c r="H64" s="35">
        <f>IFERROR(G64/F64,0)</f>
        <v>131.64438090909093</v>
      </c>
      <c r="I64" s="156">
        <v>2</v>
      </c>
      <c r="J64" s="211">
        <v>214</v>
      </c>
      <c r="K64" s="217">
        <f>IFERROR(IF(J64="",G64,J64)/IF(I64="",F64,I64),"")</f>
        <v>107</v>
      </c>
      <c r="L64" s="34">
        <f t="shared" ref="L64:L80" si="54">IF(I64="",F64,I64)</f>
        <v>2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116.85877165398345</v>
      </c>
      <c r="N64" s="57">
        <v>0</v>
      </c>
      <c r="O64" s="57">
        <v>0</v>
      </c>
      <c r="P64" s="61">
        <f t="shared" ref="P64:P80" si="55">-O64+L64+N64</f>
        <v>2</v>
      </c>
      <c r="Q64" s="40">
        <f>M64*N64</f>
        <v>0</v>
      </c>
      <c r="R64" s="40">
        <f>-M64*O64</f>
        <v>0</v>
      </c>
      <c r="S64" s="44">
        <f>M64*P64</f>
        <v>233.71754330796691</v>
      </c>
      <c r="T64" s="35">
        <f>P64</f>
        <v>2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126.91424268102088</v>
      </c>
      <c r="V64" s="57">
        <v>0</v>
      </c>
      <c r="W64" s="57">
        <v>2</v>
      </c>
      <c r="X64" s="61">
        <f t="shared" ref="X64:X80" si="56">-W64+T64+V64</f>
        <v>0</v>
      </c>
      <c r="Y64" s="40">
        <f>U64*V64</f>
        <v>0</v>
      </c>
      <c r="Z64" s="40">
        <f>-U64*W64</f>
        <v>-253.82848536204176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137.7061497928598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149.13618286341398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4</v>
      </c>
      <c r="G65" s="35">
        <f>SUMIFS(WORKING!$AC$3:$AC$6802,WORKING!$A$3:$A$6802,Results!$D$3,WORKING!$B$3:$B$6802,Results!A65,WORKING!$C$3:$C$6802,Results!C65)/1000</f>
        <v>584.92123000000004</v>
      </c>
      <c r="H65" s="35">
        <f t="shared" ref="H65:H80" si="60">IFERROR(G65/F65,0)</f>
        <v>146.23030750000001</v>
      </c>
      <c r="I65" s="187">
        <v>4</v>
      </c>
      <c r="J65" s="212">
        <v>585</v>
      </c>
      <c r="K65" s="217">
        <f t="shared" ref="K65:K80" si="61">IFERROR(IF(J65="",G65,J65)/IF(I65="",F65,I65),"")</f>
        <v>146.25</v>
      </c>
      <c r="L65" s="34">
        <f t="shared" si="54"/>
        <v>4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158.75318804819497</v>
      </c>
      <c r="N65" s="57">
        <v>0</v>
      </c>
      <c r="O65" s="57">
        <v>0</v>
      </c>
      <c r="P65" s="61">
        <f t="shared" si="55"/>
        <v>4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635.01275219277989</v>
      </c>
      <c r="T65" s="35">
        <f t="shared" ref="T65:T80" si="65">P65</f>
        <v>4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172.1113319306148</v>
      </c>
      <c r="V65" s="57">
        <v>0</v>
      </c>
      <c r="W65" s="57">
        <v>0</v>
      </c>
      <c r="X65" s="61">
        <f t="shared" si="56"/>
        <v>4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688.44532772245918</v>
      </c>
      <c r="AB65" s="35">
        <f t="shared" ref="AB65:AB80" si="69">X65</f>
        <v>4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186.41922735288361</v>
      </c>
      <c r="AD65" s="57">
        <v>0</v>
      </c>
      <c r="AE65" s="57">
        <v>0</v>
      </c>
      <c r="AF65" s="61">
        <f t="shared" si="57"/>
        <v>4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745.67690941153444</v>
      </c>
      <c r="AJ65" s="35">
        <f t="shared" si="58"/>
        <v>4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201.53907395498857</v>
      </c>
      <c r="AL65" s="57">
        <v>0</v>
      </c>
      <c r="AM65" s="57">
        <v>0</v>
      </c>
      <c r="AN65" s="61">
        <f t="shared" si="59"/>
        <v>4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806.15629581995427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4</v>
      </c>
      <c r="G66" s="35">
        <f>SUMIFS(WORKING!$AC$3:$AC$6802,WORKING!$A$3:$A$6802,Results!$D$3,WORKING!$B$3:$B$6802,Results!A66,WORKING!$C$3:$C$6802,Results!C66)/1000</f>
        <v>705.53607000000011</v>
      </c>
      <c r="H66" s="35">
        <f t="shared" si="60"/>
        <v>176.38401750000003</v>
      </c>
      <c r="I66" s="187">
        <v>4</v>
      </c>
      <c r="J66" s="212">
        <v>706</v>
      </c>
      <c r="K66" s="217">
        <f t="shared" si="61"/>
        <v>176.5</v>
      </c>
      <c r="L66" s="34">
        <f t="shared" si="54"/>
        <v>4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192.22923343568613</v>
      </c>
      <c r="N66" s="57">
        <v>0</v>
      </c>
      <c r="O66" s="57">
        <v>0</v>
      </c>
      <c r="P66" s="61">
        <f t="shared" si="55"/>
        <v>4</v>
      </c>
      <c r="Q66" s="40">
        <f t="shared" si="62"/>
        <v>0</v>
      </c>
      <c r="R66" s="40">
        <f t="shared" si="63"/>
        <v>0</v>
      </c>
      <c r="S66" s="44">
        <f t="shared" si="64"/>
        <v>768.9169337427445</v>
      </c>
      <c r="T66" s="35">
        <f t="shared" si="65"/>
        <v>4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208.60258253942715</v>
      </c>
      <c r="V66" s="57">
        <v>0</v>
      </c>
      <c r="W66" s="57">
        <v>1</v>
      </c>
      <c r="X66" s="61">
        <f t="shared" si="56"/>
        <v>3</v>
      </c>
      <c r="Y66" s="40">
        <f t="shared" si="66"/>
        <v>0</v>
      </c>
      <c r="Z66" s="40">
        <f t="shared" si="67"/>
        <v>-208.60258253942715</v>
      </c>
      <c r="AA66" s="44">
        <f t="shared" si="68"/>
        <v>625.80774761828138</v>
      </c>
      <c r="AB66" s="35">
        <f t="shared" si="69"/>
        <v>3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226.15911447507372</v>
      </c>
      <c r="AD66" s="57">
        <v>0</v>
      </c>
      <c r="AE66" s="57">
        <v>0</v>
      </c>
      <c r="AF66" s="61">
        <f t="shared" si="57"/>
        <v>3</v>
      </c>
      <c r="AG66" s="40">
        <f t="shared" si="70"/>
        <v>0</v>
      </c>
      <c r="AH66" s="40">
        <f t="shared" si="71"/>
        <v>0</v>
      </c>
      <c r="AI66" s="44">
        <f t="shared" si="72"/>
        <v>678.47734342522119</v>
      </c>
      <c r="AJ66" s="35">
        <f t="shared" si="58"/>
        <v>3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244.73478688293667</v>
      </c>
      <c r="AL66" s="57">
        <v>0</v>
      </c>
      <c r="AM66" s="57">
        <v>1</v>
      </c>
      <c r="AN66" s="61">
        <f t="shared" si="59"/>
        <v>2</v>
      </c>
      <c r="AO66" s="40">
        <f t="shared" si="73"/>
        <v>0</v>
      </c>
      <c r="AP66" s="40">
        <f t="shared" si="74"/>
        <v>-244.73478688293667</v>
      </c>
      <c r="AQ66" s="44">
        <f t="shared" si="75"/>
        <v>489.46957376587335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17</v>
      </c>
      <c r="G68" s="35">
        <f>SUMIFS(WORKING!$AC$3:$AC$6802,WORKING!$A$3:$A$6802,Results!$D$3,WORKING!$B$3:$B$6802,Results!A68,WORKING!$C$3:$C$6802,Results!C68)/1000</f>
        <v>3599.0791799999997</v>
      </c>
      <c r="H68" s="35">
        <f t="shared" si="60"/>
        <v>211.71053999999998</v>
      </c>
      <c r="I68" s="187">
        <v>17</v>
      </c>
      <c r="J68" s="212">
        <v>3599</v>
      </c>
      <c r="K68" s="217">
        <f t="shared" si="61"/>
        <v>211.70588235294119</v>
      </c>
      <c r="L68" s="34">
        <f t="shared" si="54"/>
        <v>17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230.41419086465362</v>
      </c>
      <c r="N68" s="57">
        <v>2</v>
      </c>
      <c r="O68" s="57">
        <v>1</v>
      </c>
      <c r="P68" s="61">
        <f t="shared" si="55"/>
        <v>18</v>
      </c>
      <c r="Q68" s="40">
        <f t="shared" si="62"/>
        <v>460.82838172930724</v>
      </c>
      <c r="R68" s="40">
        <f t="shared" si="63"/>
        <v>-230.41419086465362</v>
      </c>
      <c r="S68" s="44">
        <f t="shared" si="64"/>
        <v>4147.4554355637647</v>
      </c>
      <c r="T68" s="35">
        <f t="shared" si="65"/>
        <v>18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249.9930523649717</v>
      </c>
      <c r="V68" s="57">
        <v>0</v>
      </c>
      <c r="W68" s="57">
        <v>4</v>
      </c>
      <c r="X68" s="61">
        <f t="shared" si="56"/>
        <v>14</v>
      </c>
      <c r="Y68" s="40">
        <f t="shared" si="66"/>
        <v>0</v>
      </c>
      <c r="Z68" s="40">
        <f t="shared" si="67"/>
        <v>-999.97220945988681</v>
      </c>
      <c r="AA68" s="44">
        <f t="shared" si="68"/>
        <v>3499.902733109604</v>
      </c>
      <c r="AB68" s="35">
        <f t="shared" si="69"/>
        <v>14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270.98215990565677</v>
      </c>
      <c r="AD68" s="57">
        <v>0</v>
      </c>
      <c r="AE68" s="57">
        <v>0</v>
      </c>
      <c r="AF68" s="61">
        <f t="shared" si="57"/>
        <v>14</v>
      </c>
      <c r="AG68" s="40">
        <f t="shared" si="70"/>
        <v>0</v>
      </c>
      <c r="AH68" s="40">
        <f t="shared" si="71"/>
        <v>0</v>
      </c>
      <c r="AI68" s="44">
        <f t="shared" si="72"/>
        <v>3793.7502386791948</v>
      </c>
      <c r="AJ68" s="35">
        <f t="shared" si="58"/>
        <v>14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293.18409750603337</v>
      </c>
      <c r="AL68" s="57">
        <v>0</v>
      </c>
      <c r="AM68" s="57">
        <v>0</v>
      </c>
      <c r="AN68" s="61">
        <f t="shared" si="59"/>
        <v>14</v>
      </c>
      <c r="AO68" s="40">
        <f t="shared" si="73"/>
        <v>0</v>
      </c>
      <c r="AP68" s="40">
        <f t="shared" si="74"/>
        <v>0</v>
      </c>
      <c r="AQ68" s="44">
        <f t="shared" si="75"/>
        <v>4104.5773650844676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9</v>
      </c>
      <c r="G69" s="35">
        <f>SUMIFS(WORKING!$AC$3:$AC$6802,WORKING!$A$3:$A$6802,Results!$D$3,WORKING!$B$3:$B$6802,Results!A69,WORKING!$C$3:$C$6802,Results!C69)/1000</f>
        <v>2397.9862599999997</v>
      </c>
      <c r="H69" s="35">
        <f t="shared" si="60"/>
        <v>266.44291777777772</v>
      </c>
      <c r="I69" s="187">
        <v>9</v>
      </c>
      <c r="J69" s="212">
        <v>2398</v>
      </c>
      <c r="K69" s="217">
        <f t="shared" si="61"/>
        <v>266.44444444444446</v>
      </c>
      <c r="L69" s="34">
        <f t="shared" si="54"/>
        <v>9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289.84030794624334</v>
      </c>
      <c r="N69" s="57">
        <v>0</v>
      </c>
      <c r="O69" s="57">
        <v>0</v>
      </c>
      <c r="P69" s="61">
        <f t="shared" si="55"/>
        <v>9</v>
      </c>
      <c r="Q69" s="40">
        <f t="shared" si="62"/>
        <v>0</v>
      </c>
      <c r="R69" s="40">
        <f t="shared" si="63"/>
        <v>0</v>
      </c>
      <c r="S69" s="44">
        <f t="shared" si="64"/>
        <v>2608.56277151619</v>
      </c>
      <c r="T69" s="35">
        <f t="shared" si="65"/>
        <v>9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314.42130408449486</v>
      </c>
      <c r="V69" s="57">
        <v>0</v>
      </c>
      <c r="W69" s="57">
        <v>1</v>
      </c>
      <c r="X69" s="61">
        <f t="shared" si="56"/>
        <v>8</v>
      </c>
      <c r="Y69" s="40">
        <f t="shared" si="66"/>
        <v>0</v>
      </c>
      <c r="Z69" s="40">
        <f t="shared" si="67"/>
        <v>-314.42130408449486</v>
      </c>
      <c r="AA69" s="44">
        <f t="shared" si="68"/>
        <v>2515.3704326759589</v>
      </c>
      <c r="AB69" s="35">
        <f t="shared" si="69"/>
        <v>8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340.76838051958271</v>
      </c>
      <c r="AD69" s="57">
        <v>0</v>
      </c>
      <c r="AE69" s="57">
        <v>0</v>
      </c>
      <c r="AF69" s="61">
        <f t="shared" si="57"/>
        <v>8</v>
      </c>
      <c r="AG69" s="40">
        <f t="shared" si="70"/>
        <v>0</v>
      </c>
      <c r="AH69" s="40">
        <f t="shared" si="71"/>
        <v>0</v>
      </c>
      <c r="AI69" s="44">
        <f t="shared" si="72"/>
        <v>2726.1470441566617</v>
      </c>
      <c r="AJ69" s="35">
        <f t="shared" si="58"/>
        <v>8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368.63262034637893</v>
      </c>
      <c r="AL69" s="57">
        <v>0</v>
      </c>
      <c r="AM69" s="57">
        <v>0</v>
      </c>
      <c r="AN69" s="61">
        <f t="shared" si="59"/>
        <v>8</v>
      </c>
      <c r="AO69" s="40">
        <f t="shared" si="73"/>
        <v>0</v>
      </c>
      <c r="AP69" s="40">
        <f t="shared" si="74"/>
        <v>0</v>
      </c>
      <c r="AQ69" s="44">
        <f t="shared" si="75"/>
        <v>2949.0609627710314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36</v>
      </c>
      <c r="G70" s="35">
        <f>SUMIFS(WORKING!$AC$3:$AC$6802,WORKING!$A$3:$A$6802,Results!$D$3,WORKING!$B$3:$B$6802,Results!A70,WORKING!$C$3:$C$6802,Results!C70)/1000</f>
        <v>10587.136849999999</v>
      </c>
      <c r="H70" s="35">
        <f t="shared" si="60"/>
        <v>294.08713472222217</v>
      </c>
      <c r="I70" s="187">
        <v>36</v>
      </c>
      <c r="J70" s="212">
        <v>10587</v>
      </c>
      <c r="K70" s="217">
        <f t="shared" si="61"/>
        <v>294.08333333333331</v>
      </c>
      <c r="L70" s="34">
        <f t="shared" si="54"/>
        <v>36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320.18476343776507</v>
      </c>
      <c r="N70" s="57">
        <v>3</v>
      </c>
      <c r="O70" s="57">
        <v>1</v>
      </c>
      <c r="P70" s="61">
        <f t="shared" si="55"/>
        <v>38</v>
      </c>
      <c r="Q70" s="40">
        <f t="shared" si="62"/>
        <v>960.55429031329527</v>
      </c>
      <c r="R70" s="40">
        <f t="shared" si="63"/>
        <v>-320.18476343776507</v>
      </c>
      <c r="S70" s="44">
        <f t="shared" si="64"/>
        <v>12167.021010635073</v>
      </c>
      <c r="T70" s="35">
        <f t="shared" si="65"/>
        <v>38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347.42722221051497</v>
      </c>
      <c r="V70" s="57">
        <v>0</v>
      </c>
      <c r="W70" s="57">
        <v>5</v>
      </c>
      <c r="X70" s="61">
        <f t="shared" si="56"/>
        <v>33</v>
      </c>
      <c r="Y70" s="40">
        <f t="shared" si="66"/>
        <v>0</v>
      </c>
      <c r="Z70" s="40">
        <f t="shared" si="67"/>
        <v>-1737.136111052575</v>
      </c>
      <c r="AA70" s="44">
        <f t="shared" si="68"/>
        <v>11465.098332946995</v>
      </c>
      <c r="AB70" s="35">
        <f t="shared" si="69"/>
        <v>33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376.63533504130447</v>
      </c>
      <c r="AD70" s="57">
        <v>0</v>
      </c>
      <c r="AE70" s="57">
        <v>0</v>
      </c>
      <c r="AF70" s="61">
        <f t="shared" si="57"/>
        <v>33</v>
      </c>
      <c r="AG70" s="40">
        <f t="shared" si="70"/>
        <v>0</v>
      </c>
      <c r="AH70" s="40">
        <f t="shared" si="71"/>
        <v>0</v>
      </c>
      <c r="AI70" s="44">
        <f t="shared" si="72"/>
        <v>12428.966056363048</v>
      </c>
      <c r="AJ70" s="35">
        <f t="shared" si="58"/>
        <v>33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407.53527955827923</v>
      </c>
      <c r="AL70" s="57">
        <v>0</v>
      </c>
      <c r="AM70" s="57">
        <v>0</v>
      </c>
      <c r="AN70" s="61">
        <f t="shared" si="59"/>
        <v>33</v>
      </c>
      <c r="AO70" s="40">
        <f t="shared" si="73"/>
        <v>0</v>
      </c>
      <c r="AP70" s="40">
        <f t="shared" si="74"/>
        <v>0</v>
      </c>
      <c r="AQ70" s="44">
        <f t="shared" si="75"/>
        <v>13448.664225423214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14</v>
      </c>
      <c r="G71" s="35">
        <f>SUMIFS(WORKING!$AC$3:$AC$6802,WORKING!$A$3:$A$6802,Results!$D$3,WORKING!$B$3:$B$6802,Results!A71,WORKING!$C$3:$C$6802,Results!C71)/1000</f>
        <v>5847.0962900000004</v>
      </c>
      <c r="H71" s="35">
        <f>IFERROR(G71/F71,0)</f>
        <v>417.64973500000002</v>
      </c>
      <c r="I71" s="187">
        <v>14</v>
      </c>
      <c r="J71" s="212">
        <v>5665</v>
      </c>
      <c r="K71" s="217">
        <f t="shared" si="61"/>
        <v>404.64285714285717</v>
      </c>
      <c r="L71" s="34">
        <f t="shared" si="54"/>
        <v>14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440.65834153066498</v>
      </c>
      <c r="N71" s="57">
        <v>1</v>
      </c>
      <c r="O71" s="57">
        <v>1</v>
      </c>
      <c r="P71" s="61">
        <f t="shared" si="55"/>
        <v>14</v>
      </c>
      <c r="Q71" s="40">
        <f t="shared" si="62"/>
        <v>440.65834153066498</v>
      </c>
      <c r="R71" s="40">
        <f t="shared" si="63"/>
        <v>-440.65834153066498</v>
      </c>
      <c r="S71" s="44">
        <f t="shared" si="64"/>
        <v>6169.2167814293098</v>
      </c>
      <c r="T71" s="35">
        <f t="shared" si="65"/>
        <v>14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478.18083432593795</v>
      </c>
      <c r="V71" s="57">
        <v>0</v>
      </c>
      <c r="W71" s="57">
        <v>1</v>
      </c>
      <c r="X71" s="61">
        <f t="shared" si="56"/>
        <v>13</v>
      </c>
      <c r="Y71" s="40">
        <f t="shared" si="66"/>
        <v>0</v>
      </c>
      <c r="Z71" s="40">
        <f t="shared" si="67"/>
        <v>-478.18083432593795</v>
      </c>
      <c r="AA71" s="44">
        <f t="shared" si="68"/>
        <v>6216.3508462371938</v>
      </c>
      <c r="AB71" s="35">
        <f t="shared" si="69"/>
        <v>13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518.41367211655461</v>
      </c>
      <c r="AD71" s="57">
        <v>0</v>
      </c>
      <c r="AE71" s="57">
        <v>0</v>
      </c>
      <c r="AF71" s="61">
        <f t="shared" si="57"/>
        <v>13</v>
      </c>
      <c r="AG71" s="40">
        <f t="shared" si="70"/>
        <v>0</v>
      </c>
      <c r="AH71" s="40">
        <f t="shared" si="71"/>
        <v>0</v>
      </c>
      <c r="AI71" s="44">
        <f t="shared" si="72"/>
        <v>6739.3777375152094</v>
      </c>
      <c r="AJ71" s="35">
        <f t="shared" si="58"/>
        <v>13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560.98055896342464</v>
      </c>
      <c r="AL71" s="57">
        <v>0</v>
      </c>
      <c r="AM71" s="57">
        <v>0</v>
      </c>
      <c r="AN71" s="61">
        <f t="shared" si="59"/>
        <v>13</v>
      </c>
      <c r="AO71" s="40">
        <f t="shared" si="73"/>
        <v>0</v>
      </c>
      <c r="AP71" s="40">
        <f t="shared" si="74"/>
        <v>0</v>
      </c>
      <c r="AQ71" s="44">
        <f t="shared" si="75"/>
        <v>7292.7472665245205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31</v>
      </c>
      <c r="G72" s="35">
        <f>SUMIFS(WORKING!$AC$3:$AC$6802,WORKING!$A$3:$A$6802,Results!$D$3,WORKING!$B$3:$B$6802,Results!A72,WORKING!$C$3:$C$6802,Results!C72)/1000</f>
        <v>11550.186299999999</v>
      </c>
      <c r="H72" s="35">
        <f t="shared" si="60"/>
        <v>372.58665483870965</v>
      </c>
      <c r="I72" s="187">
        <v>31</v>
      </c>
      <c r="J72" s="212">
        <v>11099</v>
      </c>
      <c r="K72" s="217">
        <f>IFERROR(IF(J72="",G72,J72)/IF(I72="",F72,I72),"")</f>
        <v>358.03225806451616</v>
      </c>
      <c r="L72" s="34">
        <f t="shared" si="54"/>
        <v>31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390.16865209573433</v>
      </c>
      <c r="N72" s="57">
        <v>2</v>
      </c>
      <c r="O72" s="57">
        <v>4</v>
      </c>
      <c r="P72" s="61">
        <f t="shared" si="55"/>
        <v>29</v>
      </c>
      <c r="Q72" s="40">
        <f t="shared" si="62"/>
        <v>780.33730419146866</v>
      </c>
      <c r="R72" s="40">
        <f t="shared" si="63"/>
        <v>-1560.6746083829373</v>
      </c>
      <c r="S72" s="44">
        <f t="shared" si="64"/>
        <v>11314.890910776296</v>
      </c>
      <c r="T72" s="35">
        <f t="shared" si="65"/>
        <v>29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423.47705093005777</v>
      </c>
      <c r="V72" s="57">
        <v>0</v>
      </c>
      <c r="W72" s="57">
        <v>2</v>
      </c>
      <c r="X72" s="61">
        <f t="shared" si="56"/>
        <v>27</v>
      </c>
      <c r="Y72" s="40">
        <f t="shared" si="66"/>
        <v>0</v>
      </c>
      <c r="Z72" s="40">
        <f t="shared" si="67"/>
        <v>-846.95410186011554</v>
      </c>
      <c r="AA72" s="44">
        <f t="shared" si="68"/>
        <v>11433.880375111559</v>
      </c>
      <c r="AB72" s="35">
        <f t="shared" si="69"/>
        <v>27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459.19950251254653</v>
      </c>
      <c r="AD72" s="57">
        <v>1</v>
      </c>
      <c r="AE72" s="57">
        <v>0</v>
      </c>
      <c r="AF72" s="61">
        <f t="shared" si="57"/>
        <v>28</v>
      </c>
      <c r="AG72" s="40">
        <f t="shared" si="70"/>
        <v>459.19950251254653</v>
      </c>
      <c r="AH72" s="40">
        <f t="shared" si="71"/>
        <v>0</v>
      </c>
      <c r="AI72" s="44">
        <f t="shared" si="72"/>
        <v>12857.586070351303</v>
      </c>
      <c r="AJ72" s="35">
        <f t="shared" si="58"/>
        <v>28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497.0039515763462</v>
      </c>
      <c r="AL72" s="57">
        <v>0</v>
      </c>
      <c r="AM72" s="57">
        <v>0</v>
      </c>
      <c r="AN72" s="61">
        <f t="shared" si="59"/>
        <v>28</v>
      </c>
      <c r="AO72" s="40">
        <f t="shared" si="73"/>
        <v>0</v>
      </c>
      <c r="AP72" s="40">
        <f t="shared" si="74"/>
        <v>0</v>
      </c>
      <c r="AQ72" s="44">
        <f t="shared" si="75"/>
        <v>13916.110644137694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7</v>
      </c>
      <c r="G73" s="35">
        <f>SUMIFS(WORKING!$AC$3:$AC$6802,WORKING!$A$3:$A$6802,Results!$D$3,WORKING!$B$3:$B$6802,Results!A73,WORKING!$C$3:$C$6802,Results!C73)/1000</f>
        <v>3841.5895300000002</v>
      </c>
      <c r="H73" s="35">
        <f t="shared" si="60"/>
        <v>548.79850428571433</v>
      </c>
      <c r="I73" s="187">
        <v>7</v>
      </c>
      <c r="J73" s="212">
        <v>3526</v>
      </c>
      <c r="K73" s="217">
        <f t="shared" si="61"/>
        <v>503.71428571428572</v>
      </c>
      <c r="L73" s="34">
        <f t="shared" si="54"/>
        <v>7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549.27406692009924</v>
      </c>
      <c r="N73" s="57">
        <v>0</v>
      </c>
      <c r="O73" s="57">
        <v>1</v>
      </c>
      <c r="P73" s="61">
        <f t="shared" si="55"/>
        <v>6</v>
      </c>
      <c r="Q73" s="40">
        <f t="shared" si="62"/>
        <v>0</v>
      </c>
      <c r="R73" s="40">
        <f t="shared" si="63"/>
        <v>-549.27406692009924</v>
      </c>
      <c r="S73" s="44">
        <f t="shared" si="64"/>
        <v>3295.6444015205952</v>
      </c>
      <c r="T73" s="35">
        <f t="shared" si="65"/>
        <v>6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596.27030382128999</v>
      </c>
      <c r="V73" s="57">
        <v>0</v>
      </c>
      <c r="W73" s="57">
        <v>0</v>
      </c>
      <c r="X73" s="61">
        <f t="shared" si="56"/>
        <v>6</v>
      </c>
      <c r="Y73" s="40">
        <f t="shared" si="66"/>
        <v>0</v>
      </c>
      <c r="Z73" s="40">
        <f t="shared" si="67"/>
        <v>0</v>
      </c>
      <c r="AA73" s="44">
        <f t="shared" si="68"/>
        <v>3577.6218229277401</v>
      </c>
      <c r="AB73" s="35">
        <f t="shared" si="69"/>
        <v>6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646.68288455660979</v>
      </c>
      <c r="AD73" s="57">
        <v>0</v>
      </c>
      <c r="AE73" s="57">
        <v>0</v>
      </c>
      <c r="AF73" s="61">
        <f t="shared" si="57"/>
        <v>6</v>
      </c>
      <c r="AG73" s="40">
        <f t="shared" si="70"/>
        <v>0</v>
      </c>
      <c r="AH73" s="40">
        <f t="shared" si="71"/>
        <v>0</v>
      </c>
      <c r="AI73" s="44">
        <f t="shared" si="72"/>
        <v>3880.097307339659</v>
      </c>
      <c r="AJ73" s="35">
        <f t="shared" si="58"/>
        <v>6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700.04605794454528</v>
      </c>
      <c r="AL73" s="57">
        <v>0</v>
      </c>
      <c r="AM73" s="57">
        <v>0</v>
      </c>
      <c r="AN73" s="61">
        <f t="shared" si="59"/>
        <v>6</v>
      </c>
      <c r="AO73" s="40">
        <f t="shared" si="73"/>
        <v>0</v>
      </c>
      <c r="AP73" s="40">
        <f t="shared" si="74"/>
        <v>0</v>
      </c>
      <c r="AQ73" s="44">
        <f t="shared" si="75"/>
        <v>4200.2763476672717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17</v>
      </c>
      <c r="G74" s="35">
        <f>SUMIFS(WORKING!$AC$3:$AC$6802,WORKING!$A$3:$A$6802,Results!$D$3,WORKING!$B$3:$B$6802,Results!A74,WORKING!$C$3:$C$6802,Results!C74)/1000</f>
        <v>11475.79032</v>
      </c>
      <c r="H74" s="35">
        <f t="shared" si="60"/>
        <v>675.0464894117647</v>
      </c>
      <c r="I74" s="187">
        <v>17</v>
      </c>
      <c r="J74" s="212">
        <v>12385</v>
      </c>
      <c r="K74" s="217">
        <f t="shared" si="61"/>
        <v>728.52941176470586</v>
      </c>
      <c r="L74" s="34">
        <f t="shared" si="54"/>
        <v>17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795.21290209042547</v>
      </c>
      <c r="N74" s="57">
        <v>3</v>
      </c>
      <c r="O74" s="57">
        <v>2</v>
      </c>
      <c r="P74" s="61">
        <f t="shared" si="55"/>
        <v>18</v>
      </c>
      <c r="Q74" s="40">
        <f t="shared" si="62"/>
        <v>2385.6387062712765</v>
      </c>
      <c r="R74" s="40">
        <f t="shared" si="63"/>
        <v>-1590.4258041808509</v>
      </c>
      <c r="S74" s="44">
        <f t="shared" si="64"/>
        <v>14313.832237627659</v>
      </c>
      <c r="T74" s="35">
        <f t="shared" si="65"/>
        <v>18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863.15989257699334</v>
      </c>
      <c r="V74" s="57">
        <v>0</v>
      </c>
      <c r="W74" s="57">
        <v>2</v>
      </c>
      <c r="X74" s="61">
        <f t="shared" si="56"/>
        <v>16</v>
      </c>
      <c r="Y74" s="40">
        <f t="shared" si="66"/>
        <v>0</v>
      </c>
      <c r="Z74" s="40">
        <f t="shared" si="67"/>
        <v>-1726.3197851539867</v>
      </c>
      <c r="AA74" s="44">
        <f t="shared" si="68"/>
        <v>13810.558281231893</v>
      </c>
      <c r="AB74" s="35">
        <f t="shared" si="69"/>
        <v>16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936.03699645510005</v>
      </c>
      <c r="AD74" s="57">
        <v>0</v>
      </c>
      <c r="AE74" s="57">
        <v>0</v>
      </c>
      <c r="AF74" s="61">
        <f t="shared" si="57"/>
        <v>16</v>
      </c>
      <c r="AG74" s="40">
        <f t="shared" si="70"/>
        <v>0</v>
      </c>
      <c r="AH74" s="40">
        <f t="shared" si="71"/>
        <v>0</v>
      </c>
      <c r="AI74" s="44">
        <f t="shared" si="72"/>
        <v>14976.591943281601</v>
      </c>
      <c r="AJ74" s="35">
        <f t="shared" si="58"/>
        <v>16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1013.1680609768135</v>
      </c>
      <c r="AL74" s="57">
        <v>0</v>
      </c>
      <c r="AM74" s="57">
        <v>0</v>
      </c>
      <c r="AN74" s="61">
        <f t="shared" si="59"/>
        <v>16</v>
      </c>
      <c r="AO74" s="40">
        <f t="shared" si="73"/>
        <v>0</v>
      </c>
      <c r="AP74" s="40">
        <f t="shared" si="74"/>
        <v>0</v>
      </c>
      <c r="AQ74" s="44">
        <f t="shared" si="75"/>
        <v>16210.688975629017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17</v>
      </c>
      <c r="G75" s="35">
        <f>SUMIFS(WORKING!$AC$3:$AC$6802,WORKING!$A$3:$A$6802,Results!$D$3,WORKING!$B$3:$B$6802,Results!A75,WORKING!$C$3:$C$6802,Results!C75)/1000</f>
        <v>12670.627369999997</v>
      </c>
      <c r="H75" s="35">
        <f t="shared" si="60"/>
        <v>745.33102176470572</v>
      </c>
      <c r="I75" s="187">
        <v>17</v>
      </c>
      <c r="J75" s="212">
        <v>13375</v>
      </c>
      <c r="K75" s="217">
        <f t="shared" si="61"/>
        <v>786.76470588235293</v>
      </c>
      <c r="L75" s="34">
        <f t="shared" si="54"/>
        <v>17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858.89545869786741</v>
      </c>
      <c r="N75" s="57">
        <v>0</v>
      </c>
      <c r="O75" s="57">
        <v>1</v>
      </c>
      <c r="P75" s="61">
        <f t="shared" si="55"/>
        <v>16</v>
      </c>
      <c r="Q75" s="40">
        <f t="shared" si="62"/>
        <v>0</v>
      </c>
      <c r="R75" s="40">
        <f t="shared" si="63"/>
        <v>-858.89545869786741</v>
      </c>
      <c r="S75" s="44">
        <f t="shared" si="64"/>
        <v>13742.327339165879</v>
      </c>
      <c r="T75" s="35">
        <f t="shared" si="65"/>
        <v>16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932.41070278966095</v>
      </c>
      <c r="V75" s="57">
        <v>0</v>
      </c>
      <c r="W75" s="57">
        <v>3</v>
      </c>
      <c r="X75" s="61">
        <f t="shared" si="56"/>
        <v>13</v>
      </c>
      <c r="Y75" s="40">
        <f t="shared" si="66"/>
        <v>0</v>
      </c>
      <c r="Z75" s="40">
        <f t="shared" si="67"/>
        <v>-2797.2321083689831</v>
      </c>
      <c r="AA75" s="44">
        <f t="shared" si="68"/>
        <v>12121.339136265593</v>
      </c>
      <c r="AB75" s="35">
        <f t="shared" si="69"/>
        <v>13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1011.2723220562226</v>
      </c>
      <c r="AD75" s="57">
        <v>0</v>
      </c>
      <c r="AE75" s="57">
        <v>1</v>
      </c>
      <c r="AF75" s="61">
        <f t="shared" si="57"/>
        <v>12</v>
      </c>
      <c r="AG75" s="40">
        <f t="shared" si="70"/>
        <v>0</v>
      </c>
      <c r="AH75" s="40">
        <f t="shared" si="71"/>
        <v>-1011.2723220562226</v>
      </c>
      <c r="AI75" s="44">
        <f t="shared" si="72"/>
        <v>12135.267864674672</v>
      </c>
      <c r="AJ75" s="35">
        <f t="shared" si="58"/>
        <v>12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1094.7518966098648</v>
      </c>
      <c r="AL75" s="57">
        <v>0</v>
      </c>
      <c r="AM75" s="57">
        <v>0</v>
      </c>
      <c r="AN75" s="61">
        <f t="shared" si="59"/>
        <v>12</v>
      </c>
      <c r="AO75" s="40">
        <f t="shared" si="73"/>
        <v>0</v>
      </c>
      <c r="AP75" s="40">
        <f t="shared" si="74"/>
        <v>0</v>
      </c>
      <c r="AQ75" s="44">
        <f t="shared" si="75"/>
        <v>13137.022759318377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11</v>
      </c>
      <c r="G76" s="35">
        <f>SUMIFS(WORKING!$AC$3:$AC$6802,WORKING!$A$3:$A$6802,Results!$D$3,WORKING!$B$3:$B$6802,Results!A76,WORKING!$C$3:$C$6802,Results!C76)/1000</f>
        <v>10101.203670000001</v>
      </c>
      <c r="H76" s="35">
        <f t="shared" si="60"/>
        <v>918.29124272727279</v>
      </c>
      <c r="I76" s="187">
        <v>11</v>
      </c>
      <c r="J76" s="212">
        <v>11716</v>
      </c>
      <c r="K76" s="217">
        <f t="shared" si="61"/>
        <v>1065.090909090909</v>
      </c>
      <c r="L76" s="34">
        <f t="shared" si="54"/>
        <v>11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1115.7013840102818</v>
      </c>
      <c r="N76" s="57">
        <v>1</v>
      </c>
      <c r="O76" s="57">
        <v>0</v>
      </c>
      <c r="P76" s="61">
        <f t="shared" si="55"/>
        <v>12</v>
      </c>
      <c r="Q76" s="40">
        <f t="shared" si="62"/>
        <v>1115.7013840102818</v>
      </c>
      <c r="R76" s="40">
        <f t="shared" si="63"/>
        <v>0</v>
      </c>
      <c r="S76" s="44">
        <f t="shared" si="64"/>
        <v>13388.416608123382</v>
      </c>
      <c r="T76" s="35">
        <f t="shared" si="65"/>
        <v>12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1199.2640344537954</v>
      </c>
      <c r="V76" s="57">
        <v>0</v>
      </c>
      <c r="W76" s="57">
        <v>1</v>
      </c>
      <c r="X76" s="61">
        <f t="shared" si="56"/>
        <v>11</v>
      </c>
      <c r="Y76" s="40">
        <f t="shared" si="66"/>
        <v>0</v>
      </c>
      <c r="Z76" s="40">
        <f t="shared" si="67"/>
        <v>-1199.2640344537954</v>
      </c>
      <c r="AA76" s="44">
        <f t="shared" si="68"/>
        <v>13191.904378991749</v>
      </c>
      <c r="AB76" s="35">
        <f t="shared" si="69"/>
        <v>11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1287.8691558396545</v>
      </c>
      <c r="AD76" s="57">
        <v>0</v>
      </c>
      <c r="AE76" s="57">
        <v>1</v>
      </c>
      <c r="AF76" s="61">
        <f t="shared" si="57"/>
        <v>10</v>
      </c>
      <c r="AG76" s="40">
        <f t="shared" si="70"/>
        <v>0</v>
      </c>
      <c r="AH76" s="40">
        <f t="shared" si="71"/>
        <v>-1287.8691558396545</v>
      </c>
      <c r="AI76" s="44">
        <f t="shared" si="72"/>
        <v>12878.691558396546</v>
      </c>
      <c r="AJ76" s="35">
        <f t="shared" si="58"/>
        <v>10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1380.4087447027819</v>
      </c>
      <c r="AL76" s="57">
        <v>0</v>
      </c>
      <c r="AM76" s="57">
        <v>0</v>
      </c>
      <c r="AN76" s="61">
        <f t="shared" si="59"/>
        <v>10</v>
      </c>
      <c r="AO76" s="40">
        <f t="shared" si="73"/>
        <v>0</v>
      </c>
      <c r="AP76" s="40">
        <f t="shared" si="74"/>
        <v>0</v>
      </c>
      <c r="AQ76" s="44">
        <f t="shared" si="75"/>
        <v>13804.087447027818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8</v>
      </c>
      <c r="G77" s="35">
        <f>SUMIFS(WORKING!$AC$3:$AC$6802,WORKING!$A$3:$A$6802,Results!$D$3,WORKING!$B$3:$B$6802,Results!A77,WORKING!$C$3:$C$6802,Results!C77)/1000</f>
        <v>10505.606319999999</v>
      </c>
      <c r="H77" s="35">
        <f t="shared" si="60"/>
        <v>1313.2007899999999</v>
      </c>
      <c r="I77" s="187">
        <v>8</v>
      </c>
      <c r="J77" s="212">
        <v>10506</v>
      </c>
      <c r="K77" s="217">
        <f t="shared" si="61"/>
        <v>1313.25</v>
      </c>
      <c r="L77" s="34">
        <f t="shared" si="54"/>
        <v>8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1376.6175137742578</v>
      </c>
      <c r="N77" s="57">
        <v>1</v>
      </c>
      <c r="O77" s="57">
        <v>2</v>
      </c>
      <c r="P77" s="61">
        <f t="shared" si="55"/>
        <v>7</v>
      </c>
      <c r="Q77" s="40">
        <f t="shared" si="62"/>
        <v>1376.6175137742578</v>
      </c>
      <c r="R77" s="40">
        <f t="shared" si="63"/>
        <v>-2753.2350275485155</v>
      </c>
      <c r="S77" s="44">
        <f t="shared" si="64"/>
        <v>9636.3225964198045</v>
      </c>
      <c r="T77" s="35">
        <f t="shared" si="65"/>
        <v>7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1480.7601398168974</v>
      </c>
      <c r="V77" s="57">
        <v>0</v>
      </c>
      <c r="W77" s="57">
        <v>0</v>
      </c>
      <c r="X77" s="61">
        <f t="shared" si="56"/>
        <v>7</v>
      </c>
      <c r="Y77" s="40">
        <f t="shared" si="66"/>
        <v>0</v>
      </c>
      <c r="Z77" s="40">
        <f t="shared" si="67"/>
        <v>0</v>
      </c>
      <c r="AA77" s="44">
        <f t="shared" si="68"/>
        <v>10365.320978718282</v>
      </c>
      <c r="AB77" s="35">
        <f t="shared" si="69"/>
        <v>7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1591.2786459985045</v>
      </c>
      <c r="AD77" s="57">
        <v>2</v>
      </c>
      <c r="AE77" s="57">
        <v>0</v>
      </c>
      <c r="AF77" s="61">
        <f t="shared" si="57"/>
        <v>9</v>
      </c>
      <c r="AG77" s="40">
        <f t="shared" si="70"/>
        <v>3182.5572919970091</v>
      </c>
      <c r="AH77" s="40">
        <f t="shared" si="71"/>
        <v>0</v>
      </c>
      <c r="AI77" s="44">
        <f t="shared" si="72"/>
        <v>14321.50781398654</v>
      </c>
      <c r="AJ77" s="35">
        <f t="shared" si="58"/>
        <v>9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1706.8162998133669</v>
      </c>
      <c r="AL77" s="57">
        <v>0</v>
      </c>
      <c r="AM77" s="57">
        <v>0</v>
      </c>
      <c r="AN77" s="61">
        <f t="shared" si="59"/>
        <v>9</v>
      </c>
      <c r="AO77" s="40">
        <f t="shared" si="73"/>
        <v>0</v>
      </c>
      <c r="AP77" s="40">
        <f t="shared" si="74"/>
        <v>0</v>
      </c>
      <c r="AQ77" s="44">
        <f t="shared" si="75"/>
        <v>15361.346698320302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3</v>
      </c>
      <c r="G78" s="35">
        <f>SUMIFS(WORKING!$AC$3:$AC$6802,WORKING!$A$3:$A$6802,Results!$D$3,WORKING!$B$3:$B$6802,Results!A78,WORKING!$C$3:$C$6802,Results!C78)/1000</f>
        <v>3542.9631299999996</v>
      </c>
      <c r="H78" s="35">
        <f t="shared" si="60"/>
        <v>1180.9877099999999</v>
      </c>
      <c r="I78" s="187">
        <v>3</v>
      </c>
      <c r="J78" s="212">
        <v>4023</v>
      </c>
      <c r="K78" s="217">
        <f t="shared" si="61"/>
        <v>1341</v>
      </c>
      <c r="L78" s="34">
        <f t="shared" si="54"/>
        <v>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1406.0305982861296</v>
      </c>
      <c r="N78" s="57">
        <v>0</v>
      </c>
      <c r="O78" s="57">
        <v>1</v>
      </c>
      <c r="P78" s="61">
        <f t="shared" si="55"/>
        <v>2</v>
      </c>
      <c r="Q78" s="40">
        <f t="shared" si="62"/>
        <v>0</v>
      </c>
      <c r="R78" s="40">
        <f t="shared" si="63"/>
        <v>-1406.0305982861296</v>
      </c>
      <c r="S78" s="44">
        <f t="shared" si="64"/>
        <v>2812.0611965722592</v>
      </c>
      <c r="T78" s="35">
        <f t="shared" si="65"/>
        <v>2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1512.7470331526895</v>
      </c>
      <c r="V78" s="57">
        <v>0</v>
      </c>
      <c r="W78" s="57">
        <v>0</v>
      </c>
      <c r="X78" s="61">
        <f t="shared" si="56"/>
        <v>2</v>
      </c>
      <c r="Y78" s="40">
        <f t="shared" si="66"/>
        <v>0</v>
      </c>
      <c r="Z78" s="40">
        <f t="shared" si="67"/>
        <v>0</v>
      </c>
      <c r="AA78" s="44">
        <f t="shared" si="68"/>
        <v>3025.494066305379</v>
      </c>
      <c r="AB78" s="35">
        <f t="shared" si="69"/>
        <v>2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1626.0277107704646</v>
      </c>
      <c r="AD78" s="57">
        <v>0</v>
      </c>
      <c r="AE78" s="57">
        <v>0</v>
      </c>
      <c r="AF78" s="61">
        <f t="shared" si="57"/>
        <v>2</v>
      </c>
      <c r="AG78" s="40">
        <f t="shared" si="70"/>
        <v>0</v>
      </c>
      <c r="AH78" s="40">
        <f t="shared" si="71"/>
        <v>0</v>
      </c>
      <c r="AI78" s="44">
        <f t="shared" si="72"/>
        <v>3252.0554215409293</v>
      </c>
      <c r="AJ78" s="35">
        <f t="shared" si="58"/>
        <v>2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1744.4904748516508</v>
      </c>
      <c r="AL78" s="57">
        <v>0</v>
      </c>
      <c r="AM78" s="57">
        <v>0</v>
      </c>
      <c r="AN78" s="61">
        <f t="shared" si="59"/>
        <v>2</v>
      </c>
      <c r="AO78" s="40">
        <f t="shared" si="73"/>
        <v>0</v>
      </c>
      <c r="AP78" s="40">
        <f t="shared" si="74"/>
        <v>0</v>
      </c>
      <c r="AQ78" s="44">
        <f t="shared" si="75"/>
        <v>3488.9809497033016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2</v>
      </c>
      <c r="G79" s="35">
        <f>SUMIFS(WORKING!$AC$3:$AC$6802,WORKING!$A$3:$A$6802,Results!$D$3,WORKING!$B$3:$B$6802,Results!A79,WORKING!$C$3:$C$6802,Results!C79)/1000</f>
        <v>5441.9530500000001</v>
      </c>
      <c r="H79" s="35">
        <f t="shared" si="60"/>
        <v>2720.976525</v>
      </c>
      <c r="I79" s="187">
        <v>0</v>
      </c>
      <c r="J79" s="212">
        <v>0</v>
      </c>
      <c r="K79" s="217" t="str">
        <f t="shared" si="61"/>
        <v/>
      </c>
      <c r="L79" s="34">
        <f t="shared" si="54"/>
        <v>0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2852.8769273364746</v>
      </c>
      <c r="N79" s="57">
        <v>1</v>
      </c>
      <c r="O79" s="57">
        <v>0</v>
      </c>
      <c r="P79" s="61">
        <f t="shared" si="55"/>
        <v>1</v>
      </c>
      <c r="Q79" s="40">
        <f t="shared" si="62"/>
        <v>2852.8769273364746</v>
      </c>
      <c r="R79" s="40">
        <f t="shared" si="63"/>
        <v>0</v>
      </c>
      <c r="S79" s="44">
        <f t="shared" si="64"/>
        <v>2852.8769273364746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3069.3528833643804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3069.3528833643804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3299.1396738266476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3299.1396738266476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3539.432300624082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3539.432300624082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1</v>
      </c>
      <c r="J80" s="212">
        <v>2309</v>
      </c>
      <c r="K80" s="217">
        <f t="shared" si="61"/>
        <v>2309</v>
      </c>
      <c r="L80" s="34">
        <f t="shared" si="54"/>
        <v>1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2385.1969999999997</v>
      </c>
      <c r="N80" s="57">
        <v>0</v>
      </c>
      <c r="O80" s="57">
        <v>0</v>
      </c>
      <c r="P80" s="61">
        <f t="shared" si="55"/>
        <v>1</v>
      </c>
      <c r="Q80" s="40">
        <f t="shared" si="62"/>
        <v>0</v>
      </c>
      <c r="R80" s="40">
        <f t="shared" si="63"/>
        <v>0</v>
      </c>
      <c r="S80" s="44">
        <f t="shared" si="64"/>
        <v>2385.1969999999997</v>
      </c>
      <c r="T80" s="35">
        <f t="shared" si="65"/>
        <v>1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2528.3088199999997</v>
      </c>
      <c r="V80" s="57">
        <v>0</v>
      </c>
      <c r="W80" s="57">
        <v>0</v>
      </c>
      <c r="X80" s="61">
        <f t="shared" si="56"/>
        <v>1</v>
      </c>
      <c r="Y80" s="40">
        <f t="shared" si="66"/>
        <v>0</v>
      </c>
      <c r="Z80" s="40">
        <f t="shared" si="67"/>
        <v>0</v>
      </c>
      <c r="AA80" s="44">
        <f t="shared" si="68"/>
        <v>2528.3088199999997</v>
      </c>
      <c r="AB80" s="35">
        <f t="shared" si="69"/>
        <v>1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2677.4790403799998</v>
      </c>
      <c r="AD80" s="57">
        <v>0</v>
      </c>
      <c r="AE80" s="57">
        <v>0</v>
      </c>
      <c r="AF80" s="61">
        <f t="shared" si="57"/>
        <v>1</v>
      </c>
      <c r="AG80" s="40">
        <f t="shared" si="70"/>
        <v>0</v>
      </c>
      <c r="AH80" s="40">
        <f t="shared" si="71"/>
        <v>0</v>
      </c>
      <c r="AI80" s="44">
        <f t="shared" si="72"/>
        <v>2677.4790403799998</v>
      </c>
      <c r="AJ80" s="35">
        <f t="shared" si="58"/>
        <v>1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2830.0953456816596</v>
      </c>
      <c r="AL80" s="57">
        <v>0</v>
      </c>
      <c r="AM80" s="57">
        <v>0</v>
      </c>
      <c r="AN80" s="61">
        <f t="shared" si="59"/>
        <v>1</v>
      </c>
      <c r="AO80" s="40">
        <f t="shared" si="73"/>
        <v>0</v>
      </c>
      <c r="AP80" s="40">
        <f t="shared" si="74"/>
        <v>0</v>
      </c>
      <c r="AQ80" s="44">
        <f t="shared" si="75"/>
        <v>2830.0953456816596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9</v>
      </c>
      <c r="J81" s="212">
        <v>425</v>
      </c>
      <c r="K81" s="217">
        <f t="shared" ref="K81:K83" si="77">IFERROR(IF(J81="",G81,J81)/IF(I81="",F81,I81),"")</f>
        <v>47.222222222222221</v>
      </c>
      <c r="L81" s="34">
        <f t="shared" ref="L81:L83" si="78">IF(I81="",F81,I81)</f>
        <v>9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48.780555555555551</v>
      </c>
      <c r="N81" s="57">
        <v>0</v>
      </c>
      <c r="O81" s="57">
        <v>9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-439.02499999999998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51.707388888888886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54.758124833333326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57.879337948833324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757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>
        <v>1</v>
      </c>
      <c r="J82" s="212">
        <v>1895</v>
      </c>
      <c r="K82" s="217">
        <f t="shared" si="77"/>
        <v>1895</v>
      </c>
      <c r="L82" s="34">
        <f t="shared" si="78"/>
        <v>1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1957.5349999999999</v>
      </c>
      <c r="N82" s="57">
        <v>0</v>
      </c>
      <c r="O82" s="57">
        <v>0</v>
      </c>
      <c r="P82" s="61">
        <f t="shared" si="79"/>
        <v>1</v>
      </c>
      <c r="Q82" s="40">
        <f t="shared" si="80"/>
        <v>0</v>
      </c>
      <c r="R82" s="40">
        <f t="shared" si="81"/>
        <v>0</v>
      </c>
      <c r="S82" s="44">
        <f t="shared" si="82"/>
        <v>1957.5349999999999</v>
      </c>
      <c r="T82" s="35">
        <f t="shared" si="83"/>
        <v>1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2074.9870999999998</v>
      </c>
      <c r="V82" s="57">
        <v>0</v>
      </c>
      <c r="W82" s="57">
        <v>0</v>
      </c>
      <c r="X82" s="61">
        <f t="shared" si="84"/>
        <v>1</v>
      </c>
      <c r="Y82" s="40">
        <f t="shared" si="85"/>
        <v>0</v>
      </c>
      <c r="Z82" s="40">
        <f t="shared" si="86"/>
        <v>0</v>
      </c>
      <c r="AA82" s="44">
        <f t="shared" si="87"/>
        <v>2074.9870999999998</v>
      </c>
      <c r="AB82" s="35">
        <f t="shared" si="88"/>
        <v>1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2197.4113388999999</v>
      </c>
      <c r="AD82" s="57">
        <v>0</v>
      </c>
      <c r="AE82" s="57">
        <v>0</v>
      </c>
      <c r="AF82" s="61">
        <f t="shared" si="89"/>
        <v>1</v>
      </c>
      <c r="AG82" s="40">
        <f t="shared" si="90"/>
        <v>0</v>
      </c>
      <c r="AH82" s="40">
        <f t="shared" si="91"/>
        <v>0</v>
      </c>
      <c r="AI82" s="44">
        <f t="shared" si="92"/>
        <v>2197.4113388999999</v>
      </c>
      <c r="AJ82" s="35">
        <f t="shared" si="93"/>
        <v>1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2322.6637852172998</v>
      </c>
      <c r="AL82" s="57">
        <v>0</v>
      </c>
      <c r="AM82" s="57">
        <v>0</v>
      </c>
      <c r="AN82" s="61">
        <f t="shared" si="94"/>
        <v>1</v>
      </c>
      <c r="AO82" s="40">
        <f t="shared" si="95"/>
        <v>0</v>
      </c>
      <c r="AP82" s="40">
        <f t="shared" si="96"/>
        <v>0</v>
      </c>
      <c r="AQ82" s="44">
        <f t="shared" si="97"/>
        <v>2322.6637852172998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191</v>
      </c>
      <c r="G84" s="41">
        <f>SUM(G64:G83)</f>
        <v>94299.763760000002</v>
      </c>
      <c r="H84" s="41">
        <f>IFERROR(G84/F84,0)</f>
        <v>493.71604062827225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191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95013</v>
      </c>
      <c r="K84" s="41">
        <f>IFERROR(J84/I84,"")</f>
        <v>497.45026178010471</v>
      </c>
      <c r="L84" s="41">
        <f>SUM(L64:L83)</f>
        <v>191</v>
      </c>
      <c r="M84" s="41">
        <f>IFERROR(S84/P84,0)</f>
        <v>562.79674420840763</v>
      </c>
      <c r="N84" s="41">
        <f t="shared" ref="N84:T84" si="98">SUM(N64:N83)</f>
        <v>14</v>
      </c>
      <c r="O84" s="41">
        <f t="shared" si="98"/>
        <v>23</v>
      </c>
      <c r="P84" s="41">
        <f t="shared" si="98"/>
        <v>182</v>
      </c>
      <c r="Q84" s="41">
        <f t="shared" si="98"/>
        <v>10373.212849157027</v>
      </c>
      <c r="R84" s="41">
        <f t="shared" si="98"/>
        <v>-10148.817859849483</v>
      </c>
      <c r="S84" s="45">
        <f t="shared" si="98"/>
        <v>102429.00744593018</v>
      </c>
      <c r="T84" s="41">
        <f t="shared" si="98"/>
        <v>182</v>
      </c>
      <c r="U84" s="41">
        <f>IFERROR(AA84/X84,0)</f>
        <v>626.31089539516927</v>
      </c>
      <c r="V84" s="41">
        <f t="shared" ref="V84:AB84" si="99">SUM(V64:V83)</f>
        <v>0</v>
      </c>
      <c r="W84" s="41">
        <f t="shared" si="99"/>
        <v>22</v>
      </c>
      <c r="X84" s="41">
        <f t="shared" si="99"/>
        <v>160</v>
      </c>
      <c r="Y84" s="41">
        <f t="shared" si="99"/>
        <v>0</v>
      </c>
      <c r="Z84" s="41">
        <f t="shared" si="99"/>
        <v>-10561.911556661244</v>
      </c>
      <c r="AA84" s="45">
        <f t="shared" si="99"/>
        <v>100209.74326322708</v>
      </c>
      <c r="AB84" s="41">
        <f t="shared" si="99"/>
        <v>160</v>
      </c>
      <c r="AC84" s="41">
        <f>IFERROR(AI84/AF84,0)</f>
        <v>680.67219479645189</v>
      </c>
      <c r="AD84" s="41">
        <f t="shared" ref="AD84:AJ84" si="100">SUM(AD64:AD83)</f>
        <v>3</v>
      </c>
      <c r="AE84" s="41">
        <f t="shared" si="100"/>
        <v>2</v>
      </c>
      <c r="AF84" s="41">
        <f t="shared" si="100"/>
        <v>161</v>
      </c>
      <c r="AG84" s="41">
        <f t="shared" si="100"/>
        <v>3641.7567945095557</v>
      </c>
      <c r="AH84" s="41">
        <f t="shared" si="100"/>
        <v>-2299.141477895877</v>
      </c>
      <c r="AI84" s="45">
        <f t="shared" si="100"/>
        <v>109588.22336222876</v>
      </c>
      <c r="AJ84" s="41">
        <f t="shared" si="100"/>
        <v>161</v>
      </c>
      <c r="AK84" s="41">
        <f>IFERROR(AQ84/AN84,0)</f>
        <v>736.88363089197435</v>
      </c>
      <c r="AL84" s="41">
        <f t="shared" ref="AL84:AQ84" si="101">SUM(AL64:AL83)</f>
        <v>0</v>
      </c>
      <c r="AM84" s="41">
        <f t="shared" si="101"/>
        <v>1</v>
      </c>
      <c r="AN84" s="41">
        <f t="shared" si="101"/>
        <v>160</v>
      </c>
      <c r="AO84" s="41">
        <f t="shared" si="101"/>
        <v>0</v>
      </c>
      <c r="AP84" s="41">
        <f t="shared" si="101"/>
        <v>-244.73478688293667</v>
      </c>
      <c r="AQ84" s="45">
        <f t="shared" si="101"/>
        <v>117901.3809427159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100424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98636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109647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117980.17200000001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-2005.0074459301832</v>
      </c>
      <c r="T86" s="39"/>
      <c r="U86" s="39"/>
      <c r="V86" s="53"/>
      <c r="W86" s="53"/>
      <c r="X86" s="110"/>
      <c r="Y86" s="39"/>
      <c r="Z86" s="39"/>
      <c r="AA86" s="54">
        <f>AA85-AA84</f>
        <v>-1573.7432632270793</v>
      </c>
      <c r="AB86" s="39"/>
      <c r="AC86" s="53"/>
      <c r="AD86" s="53"/>
      <c r="AE86" s="110"/>
      <c r="AF86" s="39"/>
      <c r="AG86" s="39"/>
      <c r="AH86" s="39"/>
      <c r="AI86" s="54">
        <f>AI85-AI84</f>
        <v>58.776637771239621</v>
      </c>
      <c r="AJ86" s="53"/>
      <c r="AK86" s="53"/>
      <c r="AL86" s="110"/>
      <c r="AM86" s="110"/>
      <c r="AN86" s="110"/>
      <c r="AO86" s="110"/>
      <c r="AP86" s="111"/>
      <c r="AQ86" s="54">
        <f>AQ85-AQ84</f>
        <v>78.7910572841065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Institutional Governance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5</v>
      </c>
      <c r="G92" s="35">
        <f>SUMIFS(WORKING!$AC$3:$AC$6802,WORKING!$A$3:$A$6802,Results!$D$3,WORKING!$B$3:$B$6802,Results!A92,WORKING!$C$3:$C$6802,Results!C92)/1000</f>
        <v>2057.1891099999998</v>
      </c>
      <c r="H92" s="35">
        <f>IFERROR(G92/F92,0)</f>
        <v>411.43782199999998</v>
      </c>
      <c r="I92" s="156">
        <v>0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449.34770291907995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488.01407275526674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529.51234943201086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573.46452199661485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5</v>
      </c>
      <c r="G96" s="35">
        <f>SUMIFS(WORKING!$AC$3:$AC$6802,WORKING!$A$3:$A$6802,Results!$D$3,WORKING!$B$3:$B$6802,Results!A96,WORKING!$C$3:$C$6802,Results!C96)/1000</f>
        <v>944.31713000000002</v>
      </c>
      <c r="H96" s="35">
        <f t="shared" si="108"/>
        <v>188.863426</v>
      </c>
      <c r="I96" s="187">
        <v>5</v>
      </c>
      <c r="J96" s="212">
        <v>621</v>
      </c>
      <c r="K96" s="217">
        <f t="shared" si="109"/>
        <v>124.2</v>
      </c>
      <c r="L96" s="34">
        <f t="shared" si="102"/>
        <v>5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135.6430454476729</v>
      </c>
      <c r="N96" s="57">
        <v>0</v>
      </c>
      <c r="O96" s="57">
        <v>1</v>
      </c>
      <c r="P96" s="61">
        <f t="shared" si="103"/>
        <v>4</v>
      </c>
      <c r="Q96" s="40">
        <f t="shared" si="110"/>
        <v>0</v>
      </c>
      <c r="R96" s="40">
        <f t="shared" si="111"/>
        <v>-135.6430454476729</v>
      </c>
      <c r="S96" s="44">
        <f t="shared" si="112"/>
        <v>542.57218179069162</v>
      </c>
      <c r="T96" s="35">
        <f t="shared" si="113"/>
        <v>4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147.31432306390502</v>
      </c>
      <c r="V96" s="57">
        <v>0</v>
      </c>
      <c r="W96" s="57">
        <v>4</v>
      </c>
      <c r="X96" s="61">
        <f t="shared" si="104"/>
        <v>0</v>
      </c>
      <c r="Y96" s="40">
        <f t="shared" si="114"/>
        <v>0</v>
      </c>
      <c r="Z96" s="40">
        <f t="shared" si="115"/>
        <v>-589.25729225562009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159.8403215098827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173.10691975555341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 t="s">
        <v>754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9</v>
      </c>
      <c r="G98" s="35">
        <f>SUMIFS(WORKING!$AC$3:$AC$6802,WORKING!$A$3:$A$6802,Results!$D$3,WORKING!$B$3:$B$6802,Results!A98,WORKING!$C$3:$C$6802,Results!C98)/1000</f>
        <v>2387.8034799999996</v>
      </c>
      <c r="H98" s="35">
        <f t="shared" si="108"/>
        <v>265.31149777777773</v>
      </c>
      <c r="I98" s="187">
        <v>9</v>
      </c>
      <c r="J98" s="212">
        <v>1999</v>
      </c>
      <c r="K98" s="217">
        <f t="shared" si="109"/>
        <v>222.11111111111111</v>
      </c>
      <c r="L98" s="34">
        <f t="shared" si="102"/>
        <v>9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241.62894314809867</v>
      </c>
      <c r="N98" s="57">
        <v>0</v>
      </c>
      <c r="O98" s="57">
        <v>3</v>
      </c>
      <c r="P98" s="61">
        <f t="shared" si="103"/>
        <v>6</v>
      </c>
      <c r="Q98" s="40">
        <f t="shared" si="110"/>
        <v>0</v>
      </c>
      <c r="R98" s="40">
        <f t="shared" si="111"/>
        <v>-724.88682944429604</v>
      </c>
      <c r="S98" s="44">
        <f t="shared" si="112"/>
        <v>1449.7736588885921</v>
      </c>
      <c r="T98" s="35">
        <f t="shared" si="113"/>
        <v>6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262.1263352251213</v>
      </c>
      <c r="V98" s="57">
        <v>0</v>
      </c>
      <c r="W98" s="57">
        <v>0</v>
      </c>
      <c r="X98" s="61">
        <f t="shared" si="104"/>
        <v>6</v>
      </c>
      <c r="Y98" s="40">
        <f t="shared" si="114"/>
        <v>0</v>
      </c>
      <c r="Z98" s="40">
        <f t="shared" si="115"/>
        <v>0</v>
      </c>
      <c r="AA98" s="44">
        <f t="shared" si="116"/>
        <v>1572.7580113507279</v>
      </c>
      <c r="AB98" s="35">
        <f t="shared" si="117"/>
        <v>6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284.0968782444869</v>
      </c>
      <c r="AD98" s="57">
        <v>0</v>
      </c>
      <c r="AE98" s="57">
        <v>0</v>
      </c>
      <c r="AF98" s="61">
        <f t="shared" si="105"/>
        <v>6</v>
      </c>
      <c r="AG98" s="40">
        <f t="shared" si="118"/>
        <v>0</v>
      </c>
      <c r="AH98" s="40">
        <f t="shared" si="119"/>
        <v>0</v>
      </c>
      <c r="AI98" s="44">
        <f t="shared" si="120"/>
        <v>1704.5812694669214</v>
      </c>
      <c r="AJ98" s="35">
        <f t="shared" si="106"/>
        <v>6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307.33310003899896</v>
      </c>
      <c r="AL98" s="57">
        <v>0</v>
      </c>
      <c r="AM98" s="57">
        <v>0</v>
      </c>
      <c r="AN98" s="61">
        <f t="shared" si="107"/>
        <v>6</v>
      </c>
      <c r="AO98" s="40">
        <f t="shared" si="121"/>
        <v>0</v>
      </c>
      <c r="AP98" s="40">
        <f t="shared" si="122"/>
        <v>0</v>
      </c>
      <c r="AQ98" s="44">
        <f t="shared" si="123"/>
        <v>1843.9986002339938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</v>
      </c>
      <c r="G99" s="35">
        <f>SUMIFS(WORKING!$AC$3:$AC$6802,WORKING!$A$3:$A$6802,Results!$D$3,WORKING!$B$3:$B$6802,Results!A99,WORKING!$C$3:$C$6802,Results!C99)/1000</f>
        <v>746.59951999999998</v>
      </c>
      <c r="H99" s="35">
        <f t="shared" si="108"/>
        <v>373.29975999999999</v>
      </c>
      <c r="I99" s="187">
        <v>2</v>
      </c>
      <c r="J99" s="212">
        <v>333</v>
      </c>
      <c r="K99" s="217">
        <f t="shared" si="109"/>
        <v>166.5</v>
      </c>
      <c r="L99" s="34">
        <f t="shared" si="102"/>
        <v>2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181.31868627642899</v>
      </c>
      <c r="N99" s="57">
        <v>0</v>
      </c>
      <c r="O99" s="57">
        <v>1</v>
      </c>
      <c r="P99" s="61">
        <f t="shared" si="103"/>
        <v>1</v>
      </c>
      <c r="Q99" s="40">
        <f t="shared" si="110"/>
        <v>0</v>
      </c>
      <c r="R99" s="40">
        <f t="shared" si="111"/>
        <v>-181.31868627642899</v>
      </c>
      <c r="S99" s="44">
        <f t="shared" si="112"/>
        <v>181.31868627642899</v>
      </c>
      <c r="T99" s="35">
        <f t="shared" si="113"/>
        <v>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196.75797694423571</v>
      </c>
      <c r="V99" s="57">
        <v>0</v>
      </c>
      <c r="W99" s="57">
        <v>0</v>
      </c>
      <c r="X99" s="61">
        <f t="shared" si="104"/>
        <v>1</v>
      </c>
      <c r="Y99" s="40">
        <f t="shared" si="114"/>
        <v>0</v>
      </c>
      <c r="Z99" s="40">
        <f t="shared" si="115"/>
        <v>0</v>
      </c>
      <c r="AA99" s="44">
        <f t="shared" si="116"/>
        <v>196.75797694423571</v>
      </c>
      <c r="AB99" s="35">
        <f t="shared" si="117"/>
        <v>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213.3124669126191</v>
      </c>
      <c r="AD99" s="57">
        <v>0</v>
      </c>
      <c r="AE99" s="57">
        <v>0</v>
      </c>
      <c r="AF99" s="61">
        <f t="shared" si="105"/>
        <v>1</v>
      </c>
      <c r="AG99" s="40">
        <f t="shared" si="118"/>
        <v>0</v>
      </c>
      <c r="AH99" s="40">
        <f t="shared" si="119"/>
        <v>0</v>
      </c>
      <c r="AI99" s="44">
        <f t="shared" si="120"/>
        <v>213.3124669126191</v>
      </c>
      <c r="AJ99" s="35">
        <f t="shared" si="106"/>
        <v>1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230.82731409618972</v>
      </c>
      <c r="AL99" s="57">
        <v>0</v>
      </c>
      <c r="AM99" s="57">
        <v>0</v>
      </c>
      <c r="AN99" s="61">
        <f t="shared" si="107"/>
        <v>1</v>
      </c>
      <c r="AO99" s="40">
        <f t="shared" si="121"/>
        <v>0</v>
      </c>
      <c r="AP99" s="40">
        <f t="shared" si="122"/>
        <v>0</v>
      </c>
      <c r="AQ99" s="44">
        <f t="shared" si="123"/>
        <v>230.82731409618972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5</v>
      </c>
      <c r="G100" s="35">
        <f>SUMIFS(WORKING!$AC$3:$AC$6802,WORKING!$A$3:$A$6802,Results!$D$3,WORKING!$B$3:$B$6802,Results!A100,WORKING!$C$3:$C$6802,Results!C100)/1000</f>
        <v>921.50361999999996</v>
      </c>
      <c r="H100" s="35">
        <f t="shared" si="108"/>
        <v>184.300724</v>
      </c>
      <c r="I100" s="187">
        <v>5</v>
      </c>
      <c r="J100" s="212">
        <v>2641</v>
      </c>
      <c r="K100" s="217">
        <f t="shared" si="109"/>
        <v>528.20000000000005</v>
      </c>
      <c r="L100" s="34">
        <f t="shared" si="102"/>
        <v>5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575.00163765095715</v>
      </c>
      <c r="N100" s="57">
        <v>2</v>
      </c>
      <c r="O100" s="57">
        <v>0</v>
      </c>
      <c r="P100" s="61">
        <f t="shared" si="103"/>
        <v>7</v>
      </c>
      <c r="Q100" s="40">
        <f t="shared" si="110"/>
        <v>1150.0032753019143</v>
      </c>
      <c r="R100" s="40">
        <f t="shared" si="111"/>
        <v>0</v>
      </c>
      <c r="S100" s="44">
        <f t="shared" si="112"/>
        <v>4025.0114635567002</v>
      </c>
      <c r="T100" s="35">
        <f t="shared" si="113"/>
        <v>7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623.90481043868431</v>
      </c>
      <c r="V100" s="57">
        <v>0</v>
      </c>
      <c r="W100" s="57">
        <v>0</v>
      </c>
      <c r="X100" s="61">
        <f t="shared" si="104"/>
        <v>7</v>
      </c>
      <c r="Y100" s="40">
        <f t="shared" si="114"/>
        <v>0</v>
      </c>
      <c r="Z100" s="40">
        <f t="shared" si="115"/>
        <v>0</v>
      </c>
      <c r="AA100" s="44">
        <f t="shared" si="116"/>
        <v>4367.3336730707906</v>
      </c>
      <c r="AB100" s="35">
        <f t="shared" si="117"/>
        <v>7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676.33442599652517</v>
      </c>
      <c r="AD100" s="57">
        <v>0</v>
      </c>
      <c r="AE100" s="57">
        <v>0</v>
      </c>
      <c r="AF100" s="61">
        <f t="shared" si="105"/>
        <v>7</v>
      </c>
      <c r="AG100" s="40">
        <f t="shared" si="118"/>
        <v>0</v>
      </c>
      <c r="AH100" s="40">
        <f t="shared" si="119"/>
        <v>0</v>
      </c>
      <c r="AI100" s="44">
        <f t="shared" si="120"/>
        <v>4734.3409819756762</v>
      </c>
      <c r="AJ100" s="35">
        <f t="shared" si="106"/>
        <v>7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731.79818379287178</v>
      </c>
      <c r="AL100" s="57">
        <v>0</v>
      </c>
      <c r="AM100" s="57">
        <v>0</v>
      </c>
      <c r="AN100" s="61">
        <f t="shared" si="107"/>
        <v>7</v>
      </c>
      <c r="AO100" s="40">
        <f t="shared" si="121"/>
        <v>0</v>
      </c>
      <c r="AP100" s="40">
        <f t="shared" si="122"/>
        <v>0</v>
      </c>
      <c r="AQ100" s="44">
        <f t="shared" si="123"/>
        <v>5122.5872865501024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</v>
      </c>
      <c r="G101" s="35">
        <f>SUMIFS(WORKING!$AC$3:$AC$6802,WORKING!$A$3:$A$6802,Results!$D$3,WORKING!$B$3:$B$6802,Results!A101,WORKING!$C$3:$C$6802,Results!C101)/1000</f>
        <v>189.75332</v>
      </c>
      <c r="H101" s="35">
        <f t="shared" si="108"/>
        <v>189.75332</v>
      </c>
      <c r="I101" s="187">
        <v>1</v>
      </c>
      <c r="J101" s="212" t="s">
        <v>754</v>
      </c>
      <c r="K101" s="217">
        <f t="shared" si="109"/>
        <v>189.75332</v>
      </c>
      <c r="L101" s="34">
        <f t="shared" si="102"/>
        <v>1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207.23681452000002</v>
      </c>
      <c r="N101" s="57">
        <v>0</v>
      </c>
      <c r="O101" s="57">
        <v>1</v>
      </c>
      <c r="P101" s="61">
        <f t="shared" si="103"/>
        <v>0</v>
      </c>
      <c r="Q101" s="40">
        <f t="shared" si="110"/>
        <v>0</v>
      </c>
      <c r="R101" s="40">
        <f t="shared" si="111"/>
        <v>-207.23681452000002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225.0691336374764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244.20744388525068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264.47740241943177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14</v>
      </c>
      <c r="G102" s="35">
        <f>SUMIFS(WORKING!$AC$3:$AC$6802,WORKING!$A$3:$A$6802,Results!$D$3,WORKING!$B$3:$B$6802,Results!A102,WORKING!$C$3:$C$6802,Results!C102)/1000</f>
        <v>7890.0674999999974</v>
      </c>
      <c r="H102" s="35">
        <f t="shared" si="108"/>
        <v>563.57624999999985</v>
      </c>
      <c r="I102" s="187">
        <v>14</v>
      </c>
      <c r="J102" s="212">
        <v>8331</v>
      </c>
      <c r="K102" s="217">
        <f t="shared" si="109"/>
        <v>595.07142857142856</v>
      </c>
      <c r="L102" s="34">
        <f t="shared" si="102"/>
        <v>14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649.44710431310887</v>
      </c>
      <c r="N102" s="57">
        <v>4</v>
      </c>
      <c r="O102" s="57">
        <v>3</v>
      </c>
      <c r="P102" s="61">
        <f t="shared" si="103"/>
        <v>15</v>
      </c>
      <c r="Q102" s="40">
        <f t="shared" si="110"/>
        <v>2597.7884172524355</v>
      </c>
      <c r="R102" s="40">
        <f t="shared" si="111"/>
        <v>-1948.3413129393266</v>
      </c>
      <c r="S102" s="44">
        <f t="shared" si="112"/>
        <v>9741.706564696633</v>
      </c>
      <c r="T102" s="35">
        <f t="shared" si="113"/>
        <v>15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704.83908230559769</v>
      </c>
      <c r="V102" s="57">
        <v>0</v>
      </c>
      <c r="W102" s="57">
        <v>0</v>
      </c>
      <c r="X102" s="61">
        <f t="shared" si="104"/>
        <v>15</v>
      </c>
      <c r="Y102" s="40">
        <f t="shared" si="114"/>
        <v>0</v>
      </c>
      <c r="Z102" s="40">
        <f t="shared" si="115"/>
        <v>0</v>
      </c>
      <c r="AA102" s="44">
        <f t="shared" si="116"/>
        <v>10572.586234583965</v>
      </c>
      <c r="AB102" s="35">
        <f t="shared" si="117"/>
        <v>15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764.24058453655289</v>
      </c>
      <c r="AD102" s="57">
        <v>0</v>
      </c>
      <c r="AE102" s="57">
        <v>0</v>
      </c>
      <c r="AF102" s="61">
        <f t="shared" si="105"/>
        <v>15</v>
      </c>
      <c r="AG102" s="40">
        <f t="shared" si="118"/>
        <v>0</v>
      </c>
      <c r="AH102" s="40">
        <f t="shared" si="119"/>
        <v>0</v>
      </c>
      <c r="AI102" s="44">
        <f t="shared" si="120"/>
        <v>11463.608768048292</v>
      </c>
      <c r="AJ102" s="35">
        <f t="shared" si="106"/>
        <v>15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827.09792440476576</v>
      </c>
      <c r="AL102" s="57">
        <v>0</v>
      </c>
      <c r="AM102" s="57">
        <v>0</v>
      </c>
      <c r="AN102" s="61">
        <f t="shared" si="107"/>
        <v>15</v>
      </c>
      <c r="AO102" s="40">
        <f t="shared" si="121"/>
        <v>0</v>
      </c>
      <c r="AP102" s="40">
        <f t="shared" si="122"/>
        <v>0</v>
      </c>
      <c r="AQ102" s="44">
        <f t="shared" si="123"/>
        <v>12406.468866071486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6</v>
      </c>
      <c r="G103" s="35">
        <f>SUMIFS(WORKING!$AC$3:$AC$6802,WORKING!$A$3:$A$6802,Results!$D$3,WORKING!$B$3:$B$6802,Results!A103,WORKING!$C$3:$C$6802,Results!C103)/1000</f>
        <v>4071.4684899999993</v>
      </c>
      <c r="H103" s="35">
        <f t="shared" si="108"/>
        <v>678.57808166666655</v>
      </c>
      <c r="I103" s="187">
        <v>6</v>
      </c>
      <c r="J103" s="212">
        <v>3925</v>
      </c>
      <c r="K103" s="217">
        <f t="shared" si="109"/>
        <v>654.16666666666663</v>
      </c>
      <c r="L103" s="34">
        <f t="shared" si="102"/>
        <v>6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714.36085105899667</v>
      </c>
      <c r="N103" s="57">
        <v>0</v>
      </c>
      <c r="O103" s="57">
        <v>1</v>
      </c>
      <c r="P103" s="61">
        <f t="shared" si="103"/>
        <v>5</v>
      </c>
      <c r="Q103" s="40">
        <f t="shared" si="110"/>
        <v>0</v>
      </c>
      <c r="R103" s="40">
        <f t="shared" si="111"/>
        <v>-714.36085105899667</v>
      </c>
      <c r="S103" s="44">
        <f t="shared" si="112"/>
        <v>3571.8042552949832</v>
      </c>
      <c r="T103" s="35">
        <f t="shared" si="113"/>
        <v>5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775.74393291388549</v>
      </c>
      <c r="V103" s="57">
        <v>0</v>
      </c>
      <c r="W103" s="57">
        <v>0</v>
      </c>
      <c r="X103" s="61">
        <f t="shared" si="104"/>
        <v>5</v>
      </c>
      <c r="Y103" s="40">
        <f t="shared" si="114"/>
        <v>0</v>
      </c>
      <c r="Z103" s="40">
        <f t="shared" si="115"/>
        <v>0</v>
      </c>
      <c r="AA103" s="44">
        <f t="shared" si="116"/>
        <v>3878.7196645694276</v>
      </c>
      <c r="AB103" s="35">
        <f t="shared" si="117"/>
        <v>5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841.61420465395975</v>
      </c>
      <c r="AD103" s="57">
        <v>0</v>
      </c>
      <c r="AE103" s="57">
        <v>0</v>
      </c>
      <c r="AF103" s="61">
        <f t="shared" si="105"/>
        <v>5</v>
      </c>
      <c r="AG103" s="40">
        <f t="shared" si="118"/>
        <v>0</v>
      </c>
      <c r="AH103" s="40">
        <f t="shared" si="119"/>
        <v>0</v>
      </c>
      <c r="AI103" s="44">
        <f t="shared" si="120"/>
        <v>4208.0710232697984</v>
      </c>
      <c r="AJ103" s="35">
        <f t="shared" si="106"/>
        <v>5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911.3693948520438</v>
      </c>
      <c r="AL103" s="57">
        <v>0</v>
      </c>
      <c r="AM103" s="57">
        <v>0</v>
      </c>
      <c r="AN103" s="61">
        <f t="shared" si="107"/>
        <v>5</v>
      </c>
      <c r="AO103" s="40">
        <f t="shared" si="121"/>
        <v>0</v>
      </c>
      <c r="AP103" s="40">
        <f t="shared" si="122"/>
        <v>0</v>
      </c>
      <c r="AQ103" s="44">
        <f t="shared" si="123"/>
        <v>4556.8469742602192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7</v>
      </c>
      <c r="G104" s="35">
        <f>SUMIFS(WORKING!$AC$3:$AC$6802,WORKING!$A$3:$A$6802,Results!$D$3,WORKING!$B$3:$B$6802,Results!A104,WORKING!$C$3:$C$6802,Results!C104)/1000</f>
        <v>6952.6915300000001</v>
      </c>
      <c r="H104" s="35">
        <f t="shared" si="108"/>
        <v>993.24164714285712</v>
      </c>
      <c r="I104" s="187">
        <v>7</v>
      </c>
      <c r="J104" s="212">
        <v>5452</v>
      </c>
      <c r="K104" s="217">
        <f t="shared" si="109"/>
        <v>778.85714285714289</v>
      </c>
      <c r="L104" s="34">
        <f t="shared" si="102"/>
        <v>7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815.99303693887259</v>
      </c>
      <c r="N104" s="57">
        <v>1</v>
      </c>
      <c r="O104" s="57">
        <v>0</v>
      </c>
      <c r="P104" s="61">
        <f t="shared" si="103"/>
        <v>8</v>
      </c>
      <c r="Q104" s="40">
        <f t="shared" si="110"/>
        <v>815.99303693887259</v>
      </c>
      <c r="R104" s="40">
        <f t="shared" si="111"/>
        <v>0</v>
      </c>
      <c r="S104" s="44">
        <f t="shared" si="112"/>
        <v>6527.9442955109807</v>
      </c>
      <c r="T104" s="35">
        <f t="shared" si="113"/>
        <v>8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877.24447622954858</v>
      </c>
      <c r="V104" s="57">
        <v>0</v>
      </c>
      <c r="W104" s="57">
        <v>0</v>
      </c>
      <c r="X104" s="61">
        <f t="shared" si="104"/>
        <v>8</v>
      </c>
      <c r="Y104" s="40">
        <f t="shared" si="114"/>
        <v>0</v>
      </c>
      <c r="Z104" s="40">
        <f t="shared" si="115"/>
        <v>0</v>
      </c>
      <c r="AA104" s="44">
        <f t="shared" si="116"/>
        <v>7017.9558098363887</v>
      </c>
      <c r="AB104" s="35">
        <f t="shared" si="117"/>
        <v>8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942.20396287679239</v>
      </c>
      <c r="AD104" s="57">
        <v>0</v>
      </c>
      <c r="AE104" s="57">
        <v>0</v>
      </c>
      <c r="AF104" s="61">
        <f t="shared" si="105"/>
        <v>8</v>
      </c>
      <c r="AG104" s="40">
        <f t="shared" si="118"/>
        <v>0</v>
      </c>
      <c r="AH104" s="40">
        <f t="shared" si="119"/>
        <v>0</v>
      </c>
      <c r="AI104" s="44">
        <f t="shared" si="120"/>
        <v>7537.6317030143391</v>
      </c>
      <c r="AJ104" s="35">
        <f t="shared" si="106"/>
        <v>8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1010.0624776623281</v>
      </c>
      <c r="AL104" s="57">
        <v>0</v>
      </c>
      <c r="AM104" s="57">
        <v>0</v>
      </c>
      <c r="AN104" s="61">
        <f t="shared" si="107"/>
        <v>8</v>
      </c>
      <c r="AO104" s="40">
        <f t="shared" si="121"/>
        <v>0</v>
      </c>
      <c r="AP104" s="40">
        <f t="shared" si="122"/>
        <v>0</v>
      </c>
      <c r="AQ104" s="44">
        <f t="shared" si="123"/>
        <v>8080.4998212986247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3</v>
      </c>
      <c r="G105" s="35">
        <f>SUMIFS(WORKING!$AC$3:$AC$6802,WORKING!$A$3:$A$6802,Results!$D$3,WORKING!$B$3:$B$6802,Results!A105,WORKING!$C$3:$C$6802,Results!C105)/1000</f>
        <v>3132.7855199999999</v>
      </c>
      <c r="H105" s="35">
        <f t="shared" si="108"/>
        <v>1044.2618399999999</v>
      </c>
      <c r="I105" s="187">
        <v>3</v>
      </c>
      <c r="J105" s="212">
        <v>2791</v>
      </c>
      <c r="K105" s="217">
        <f t="shared" si="109"/>
        <v>930.33333333333337</v>
      </c>
      <c r="L105" s="34">
        <f t="shared" si="102"/>
        <v>3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975.2387243914385</v>
      </c>
      <c r="N105" s="57">
        <v>0</v>
      </c>
      <c r="O105" s="57">
        <v>0</v>
      </c>
      <c r="P105" s="61">
        <f t="shared" si="103"/>
        <v>3</v>
      </c>
      <c r="Q105" s="40">
        <f t="shared" si="110"/>
        <v>0</v>
      </c>
      <c r="R105" s="40">
        <f t="shared" si="111"/>
        <v>0</v>
      </c>
      <c r="S105" s="44">
        <f t="shared" si="112"/>
        <v>2925.7161731743154</v>
      </c>
      <c r="T105" s="35">
        <f t="shared" si="113"/>
        <v>3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1049.0322444870669</v>
      </c>
      <c r="V105" s="57">
        <v>0</v>
      </c>
      <c r="W105" s="57">
        <v>2</v>
      </c>
      <c r="X105" s="61">
        <f t="shared" si="104"/>
        <v>1</v>
      </c>
      <c r="Y105" s="40">
        <f t="shared" si="114"/>
        <v>0</v>
      </c>
      <c r="Z105" s="40">
        <f t="shared" si="115"/>
        <v>-2098.0644889741338</v>
      </c>
      <c r="AA105" s="44">
        <f t="shared" si="116"/>
        <v>1049.0322444870669</v>
      </c>
      <c r="AB105" s="35">
        <f t="shared" si="117"/>
        <v>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1127.3449715483341</v>
      </c>
      <c r="AD105" s="57">
        <v>1</v>
      </c>
      <c r="AE105" s="57">
        <v>0</v>
      </c>
      <c r="AF105" s="61">
        <f t="shared" si="105"/>
        <v>2</v>
      </c>
      <c r="AG105" s="40">
        <f t="shared" si="118"/>
        <v>1127.3449715483341</v>
      </c>
      <c r="AH105" s="40">
        <f t="shared" si="119"/>
        <v>0</v>
      </c>
      <c r="AI105" s="44">
        <f t="shared" si="120"/>
        <v>2254.6899430966682</v>
      </c>
      <c r="AJ105" s="35">
        <f t="shared" si="106"/>
        <v>2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1209.2159131040496</v>
      </c>
      <c r="AL105" s="57">
        <v>0</v>
      </c>
      <c r="AM105" s="57">
        <v>0</v>
      </c>
      <c r="AN105" s="61">
        <f t="shared" si="107"/>
        <v>2</v>
      </c>
      <c r="AO105" s="40">
        <f t="shared" si="121"/>
        <v>0</v>
      </c>
      <c r="AP105" s="40">
        <f t="shared" si="122"/>
        <v>0</v>
      </c>
      <c r="AQ105" s="44">
        <f t="shared" si="123"/>
        <v>2418.4318262080992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252.15322</v>
      </c>
      <c r="H106" s="35">
        <f t="shared" si="108"/>
        <v>252.15322</v>
      </c>
      <c r="I106" s="187">
        <v>1</v>
      </c>
      <c r="J106" s="212">
        <v>1264</v>
      </c>
      <c r="K106" s="217">
        <f t="shared" si="109"/>
        <v>1264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1324.4163100225933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1324.4163100225933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1423.9918726251221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1423.9918726251221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1529.6095824113909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1529.6095824113909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1639.9579325383438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1639.9579325383438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756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>
        <v>5</v>
      </c>
      <c r="J109" s="212">
        <v>258</v>
      </c>
      <c r="K109" s="217">
        <f t="shared" si="109"/>
        <v>51.6</v>
      </c>
      <c r="L109" s="34">
        <f t="shared" si="102"/>
        <v>5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53.302799999999998</v>
      </c>
      <c r="N109" s="57">
        <v>0</v>
      </c>
      <c r="O109" s="57">
        <v>5</v>
      </c>
      <c r="P109" s="61">
        <f t="shared" si="103"/>
        <v>0</v>
      </c>
      <c r="Q109" s="40">
        <f t="shared" si="110"/>
        <v>0</v>
      </c>
      <c r="R109" s="40">
        <f t="shared" si="111"/>
        <v>-266.51400000000001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56.500968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59.834525111999994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63.245093043383989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58</v>
      </c>
      <c r="G112" s="41">
        <f>SUM(G92:G111)</f>
        <v>29546.332439999998</v>
      </c>
      <c r="H112" s="41">
        <f>IFERROR(G112/F112,0)</f>
        <v>509.4195248275862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58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27804.75332</v>
      </c>
      <c r="K112" s="41">
        <f>IFERROR(J112/I112,"")</f>
        <v>479.39229862068964</v>
      </c>
      <c r="L112" s="41">
        <f>SUM(L92:L111)</f>
        <v>58</v>
      </c>
      <c r="M112" s="41">
        <f>IFERROR(S112/P112,0)</f>
        <v>605.80527178423836</v>
      </c>
      <c r="N112" s="41">
        <f t="shared" ref="N112:T112" si="124">SUM(N92:N111)</f>
        <v>7</v>
      </c>
      <c r="O112" s="41">
        <f t="shared" si="124"/>
        <v>15</v>
      </c>
      <c r="P112" s="41">
        <f t="shared" si="124"/>
        <v>50</v>
      </c>
      <c r="Q112" s="41">
        <f t="shared" si="124"/>
        <v>4563.7847294932217</v>
      </c>
      <c r="R112" s="41">
        <f t="shared" si="124"/>
        <v>-4178.3015396867213</v>
      </c>
      <c r="S112" s="45">
        <f t="shared" si="124"/>
        <v>30290.263589211918</v>
      </c>
      <c r="T112" s="41">
        <f t="shared" si="124"/>
        <v>50</v>
      </c>
      <c r="U112" s="41">
        <f>IFERROR(AA112/X112,0)</f>
        <v>683.61671562426648</v>
      </c>
      <c r="V112" s="41">
        <f t="shared" ref="V112:AB112" si="125">SUM(V92:V111)</f>
        <v>0</v>
      </c>
      <c r="W112" s="41">
        <f t="shared" si="125"/>
        <v>6</v>
      </c>
      <c r="X112" s="41">
        <f t="shared" si="125"/>
        <v>44</v>
      </c>
      <c r="Y112" s="41">
        <f t="shared" si="125"/>
        <v>0</v>
      </c>
      <c r="Z112" s="41">
        <f t="shared" si="125"/>
        <v>-2687.3217812297539</v>
      </c>
      <c r="AA112" s="45">
        <f t="shared" si="125"/>
        <v>30079.135487467724</v>
      </c>
      <c r="AB112" s="41">
        <f t="shared" si="125"/>
        <v>44</v>
      </c>
      <c r="AC112" s="41">
        <f>IFERROR(AI112/AF112,0)</f>
        <v>747.68546084879347</v>
      </c>
      <c r="AD112" s="41">
        <f t="shared" ref="AD112:AJ112" si="126">SUM(AD92:AD111)</f>
        <v>1</v>
      </c>
      <c r="AE112" s="41">
        <f t="shared" si="126"/>
        <v>0</v>
      </c>
      <c r="AF112" s="41">
        <f t="shared" si="126"/>
        <v>45</v>
      </c>
      <c r="AG112" s="41">
        <f t="shared" si="126"/>
        <v>1127.3449715483341</v>
      </c>
      <c r="AH112" s="41">
        <f t="shared" si="126"/>
        <v>0</v>
      </c>
      <c r="AI112" s="45">
        <f t="shared" si="126"/>
        <v>33645.845738195705</v>
      </c>
      <c r="AJ112" s="41">
        <f t="shared" si="126"/>
        <v>45</v>
      </c>
      <c r="AK112" s="41">
        <f>IFERROR(AQ112/AN112,0)</f>
        <v>806.65819158349029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45</v>
      </c>
      <c r="AO112" s="41">
        <f t="shared" si="127"/>
        <v>0</v>
      </c>
      <c r="AP112" s="41">
        <f t="shared" si="127"/>
        <v>0</v>
      </c>
      <c r="AQ112" s="45">
        <f t="shared" si="127"/>
        <v>36299.618621257061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35832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35607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39453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42451.428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5541.7364107880821</v>
      </c>
      <c r="T114" s="39"/>
      <c r="U114" s="39"/>
      <c r="V114" s="53"/>
      <c r="W114" s="53"/>
      <c r="X114" s="110"/>
      <c r="Y114" s="39"/>
      <c r="Z114" s="39"/>
      <c r="AA114" s="54">
        <f>AA113-AA112</f>
        <v>5527.8645125322764</v>
      </c>
      <c r="AB114" s="39"/>
      <c r="AC114" s="53"/>
      <c r="AD114" s="53"/>
      <c r="AE114" s="110"/>
      <c r="AF114" s="39"/>
      <c r="AG114" s="39"/>
      <c r="AH114" s="39"/>
      <c r="AI114" s="54">
        <f>AI113-AI112</f>
        <v>5807.1542618042949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6151.8093787429389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Arts and Culture Promotion and Development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9</v>
      </c>
      <c r="G120" s="35">
        <f>SUMIFS(WORKING!$AC$3:$AC$6802,WORKING!$A$3:$A$6802,Results!$D$3,WORKING!$B$3:$B$6802,Results!A120,WORKING!$C$3:$C$6802,Results!C120)/1000</f>
        <v>303.72932000000003</v>
      </c>
      <c r="H120" s="35">
        <f>IFERROR(G120/F120,0)</f>
        <v>33.747702222222223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36.857215504977773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40.028778899181113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43.432626112872967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47.037751243371986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0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6</v>
      </c>
      <c r="G124" s="35">
        <f>SUMIFS(WORKING!$AC$3:$AC$6802,WORKING!$A$3:$A$6802,Results!$D$3,WORKING!$B$3:$B$6802,Results!A124,WORKING!$C$3:$C$6802,Results!C124)/1000</f>
        <v>1122.6346400000002</v>
      </c>
      <c r="H124" s="35">
        <f t="shared" si="134"/>
        <v>187.10577333333336</v>
      </c>
      <c r="I124" s="187">
        <v>6</v>
      </c>
      <c r="J124" s="212">
        <v>902</v>
      </c>
      <c r="K124" s="217">
        <f t="shared" si="135"/>
        <v>150.33333333333334</v>
      </c>
      <c r="L124" s="34">
        <f t="shared" si="128"/>
        <v>6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164.18413942825404</v>
      </c>
      <c r="N124" s="57">
        <v>0</v>
      </c>
      <c r="O124" s="57">
        <v>1</v>
      </c>
      <c r="P124" s="61">
        <f t="shared" si="129"/>
        <v>5</v>
      </c>
      <c r="Q124" s="40">
        <f t="shared" si="136"/>
        <v>0</v>
      </c>
      <c r="R124" s="40">
        <f t="shared" si="137"/>
        <v>-164.18413942825404</v>
      </c>
      <c r="S124" s="44">
        <f t="shared" si="138"/>
        <v>820.92069714127024</v>
      </c>
      <c r="T124" s="35">
        <f t="shared" si="139"/>
        <v>5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178.31119932522176</v>
      </c>
      <c r="V124" s="57">
        <v>0</v>
      </c>
      <c r="W124" s="57">
        <v>5</v>
      </c>
      <c r="X124" s="61">
        <f t="shared" si="130"/>
        <v>0</v>
      </c>
      <c r="Y124" s="40">
        <f t="shared" si="140"/>
        <v>0</v>
      </c>
      <c r="Z124" s="40">
        <f t="shared" si="141"/>
        <v>-891.55599662610882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193.47282307985952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209.53087694703461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3</v>
      </c>
      <c r="G125" s="35">
        <f>SUMIFS(WORKING!$AC$3:$AC$6802,WORKING!$A$3:$A$6802,Results!$D$3,WORKING!$B$3:$B$6802,Results!A125,WORKING!$C$3:$C$6802,Results!C125)/1000</f>
        <v>750.97838000000002</v>
      </c>
      <c r="H125" s="35">
        <f t="shared" si="134"/>
        <v>250.32612666666668</v>
      </c>
      <c r="I125" s="187">
        <v>3</v>
      </c>
      <c r="J125" s="212">
        <v>711</v>
      </c>
      <c r="K125" s="217">
        <f t="shared" si="135"/>
        <v>237</v>
      </c>
      <c r="L125" s="34">
        <f t="shared" si="128"/>
        <v>3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257.60849803298544</v>
      </c>
      <c r="N125" s="57">
        <v>0</v>
      </c>
      <c r="O125" s="57">
        <v>0</v>
      </c>
      <c r="P125" s="61">
        <f t="shared" si="129"/>
        <v>3</v>
      </c>
      <c r="Q125" s="40">
        <f t="shared" si="136"/>
        <v>0</v>
      </c>
      <c r="R125" s="40">
        <f t="shared" si="137"/>
        <v>0</v>
      </c>
      <c r="S125" s="44">
        <f t="shared" si="138"/>
        <v>772.82549409895637</v>
      </c>
      <c r="T125" s="35">
        <f t="shared" si="139"/>
        <v>3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279.39312142535022</v>
      </c>
      <c r="V125" s="57">
        <v>0</v>
      </c>
      <c r="W125" s="57">
        <v>0</v>
      </c>
      <c r="X125" s="61">
        <f t="shared" si="130"/>
        <v>3</v>
      </c>
      <c r="Y125" s="40">
        <f t="shared" si="140"/>
        <v>0</v>
      </c>
      <c r="Z125" s="40">
        <f t="shared" si="141"/>
        <v>0</v>
      </c>
      <c r="AA125" s="44">
        <f t="shared" si="142"/>
        <v>838.17936427605059</v>
      </c>
      <c r="AB125" s="35">
        <f t="shared" si="143"/>
        <v>3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302.73693845467176</v>
      </c>
      <c r="AD125" s="57">
        <v>0</v>
      </c>
      <c r="AE125" s="57">
        <v>0</v>
      </c>
      <c r="AF125" s="61">
        <f t="shared" si="131"/>
        <v>3</v>
      </c>
      <c r="AG125" s="40">
        <f t="shared" si="144"/>
        <v>0</v>
      </c>
      <c r="AH125" s="40">
        <f t="shared" si="145"/>
        <v>0</v>
      </c>
      <c r="AI125" s="44">
        <f t="shared" si="146"/>
        <v>908.21081536401528</v>
      </c>
      <c r="AJ125" s="35">
        <f t="shared" si="132"/>
        <v>3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327.41784189302882</v>
      </c>
      <c r="AL125" s="57">
        <v>0</v>
      </c>
      <c r="AM125" s="57">
        <v>0</v>
      </c>
      <c r="AN125" s="61">
        <f t="shared" si="133"/>
        <v>3</v>
      </c>
      <c r="AO125" s="40">
        <f t="shared" si="147"/>
        <v>0</v>
      </c>
      <c r="AP125" s="40">
        <f t="shared" si="148"/>
        <v>0</v>
      </c>
      <c r="AQ125" s="44">
        <f t="shared" si="149"/>
        <v>982.25352567908647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9</v>
      </c>
      <c r="G126" s="35">
        <f>SUMIFS(WORKING!$AC$3:$AC$6802,WORKING!$A$3:$A$6802,Results!$D$3,WORKING!$B$3:$B$6802,Results!A126,WORKING!$C$3:$C$6802,Results!C126)/1000</f>
        <v>2667.8908700000002</v>
      </c>
      <c r="H126" s="35">
        <f t="shared" si="134"/>
        <v>296.43231888888891</v>
      </c>
      <c r="I126" s="187">
        <v>9</v>
      </c>
      <c r="J126" s="212">
        <v>2056</v>
      </c>
      <c r="K126" s="217">
        <f t="shared" si="135"/>
        <v>228.44444444444446</v>
      </c>
      <c r="L126" s="34">
        <f t="shared" si="128"/>
        <v>9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248.70236791726663</v>
      </c>
      <c r="N126" s="57">
        <v>0</v>
      </c>
      <c r="O126" s="57">
        <v>2</v>
      </c>
      <c r="P126" s="61">
        <f t="shared" si="129"/>
        <v>7</v>
      </c>
      <c r="Q126" s="40">
        <f t="shared" si="136"/>
        <v>0</v>
      </c>
      <c r="R126" s="40">
        <f t="shared" si="137"/>
        <v>-497.40473583453326</v>
      </c>
      <c r="S126" s="44">
        <f t="shared" si="138"/>
        <v>1740.9165754208664</v>
      </c>
      <c r="T126" s="35">
        <f t="shared" si="139"/>
        <v>7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269.85614584903169</v>
      </c>
      <c r="V126" s="57">
        <v>0</v>
      </c>
      <c r="W126" s="57">
        <v>0</v>
      </c>
      <c r="X126" s="61">
        <f t="shared" si="130"/>
        <v>7</v>
      </c>
      <c r="Y126" s="40">
        <f t="shared" si="140"/>
        <v>0</v>
      </c>
      <c r="Z126" s="40">
        <f t="shared" si="141"/>
        <v>0</v>
      </c>
      <c r="AA126" s="44">
        <f t="shared" si="142"/>
        <v>1888.9930209432218</v>
      </c>
      <c r="AB126" s="35">
        <f t="shared" si="143"/>
        <v>7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292.53567666739394</v>
      </c>
      <c r="AD126" s="57">
        <v>0</v>
      </c>
      <c r="AE126" s="57">
        <v>0</v>
      </c>
      <c r="AF126" s="61">
        <f t="shared" si="131"/>
        <v>7</v>
      </c>
      <c r="AG126" s="40">
        <f t="shared" si="144"/>
        <v>0</v>
      </c>
      <c r="AH126" s="40">
        <f t="shared" si="145"/>
        <v>0</v>
      </c>
      <c r="AI126" s="44">
        <f t="shared" si="146"/>
        <v>2047.7497366717575</v>
      </c>
      <c r="AJ126" s="35">
        <f t="shared" si="132"/>
        <v>7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316.52825894073595</v>
      </c>
      <c r="AL126" s="57">
        <v>0</v>
      </c>
      <c r="AM126" s="57">
        <v>0</v>
      </c>
      <c r="AN126" s="61">
        <f t="shared" si="133"/>
        <v>7</v>
      </c>
      <c r="AO126" s="40">
        <f t="shared" si="147"/>
        <v>0</v>
      </c>
      <c r="AP126" s="40">
        <f t="shared" si="148"/>
        <v>0</v>
      </c>
      <c r="AQ126" s="44">
        <f t="shared" si="149"/>
        <v>2215.6978125851515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11</v>
      </c>
      <c r="G127" s="35">
        <f>SUMIFS(WORKING!$AC$3:$AC$6802,WORKING!$A$3:$A$6802,Results!$D$3,WORKING!$B$3:$B$6802,Results!A127,WORKING!$C$3:$C$6802,Results!C127)/1000</f>
        <v>4031.1815000000001</v>
      </c>
      <c r="H127" s="35">
        <f t="shared" si="134"/>
        <v>366.47104545454545</v>
      </c>
      <c r="I127" s="187">
        <v>11</v>
      </c>
      <c r="J127" s="212">
        <v>4396</v>
      </c>
      <c r="K127" s="217">
        <f t="shared" si="135"/>
        <v>399.63636363636363</v>
      </c>
      <c r="L127" s="34">
        <f t="shared" si="128"/>
        <v>11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435.16743336789796</v>
      </c>
      <c r="N127" s="57">
        <v>1</v>
      </c>
      <c r="O127" s="57">
        <v>1</v>
      </c>
      <c r="P127" s="61">
        <f t="shared" si="129"/>
        <v>11</v>
      </c>
      <c r="Q127" s="40">
        <f t="shared" si="136"/>
        <v>435.16743336789796</v>
      </c>
      <c r="R127" s="40">
        <f t="shared" si="137"/>
        <v>-435.16743336789796</v>
      </c>
      <c r="S127" s="44">
        <f t="shared" si="138"/>
        <v>4786.8417670468771</v>
      </c>
      <c r="T127" s="35">
        <f t="shared" si="139"/>
        <v>11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472.21025705358193</v>
      </c>
      <c r="V127" s="57">
        <v>0</v>
      </c>
      <c r="W127" s="57">
        <v>1</v>
      </c>
      <c r="X127" s="61">
        <f t="shared" si="130"/>
        <v>10</v>
      </c>
      <c r="Y127" s="40">
        <f t="shared" si="140"/>
        <v>0</v>
      </c>
      <c r="Z127" s="40">
        <f t="shared" si="141"/>
        <v>-472.21025705358193</v>
      </c>
      <c r="AA127" s="44">
        <f t="shared" si="142"/>
        <v>4722.1025705358188</v>
      </c>
      <c r="AB127" s="35">
        <f t="shared" si="143"/>
        <v>10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511.92762026167179</v>
      </c>
      <c r="AD127" s="57">
        <v>0</v>
      </c>
      <c r="AE127" s="57">
        <v>0</v>
      </c>
      <c r="AF127" s="61">
        <f t="shared" si="131"/>
        <v>10</v>
      </c>
      <c r="AG127" s="40">
        <f t="shared" si="144"/>
        <v>0</v>
      </c>
      <c r="AH127" s="40">
        <f t="shared" si="145"/>
        <v>0</v>
      </c>
      <c r="AI127" s="44">
        <f t="shared" si="146"/>
        <v>5119.2762026167184</v>
      </c>
      <c r="AJ127" s="35">
        <f t="shared" si="132"/>
        <v>10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553.94774568064508</v>
      </c>
      <c r="AL127" s="57">
        <v>0</v>
      </c>
      <c r="AM127" s="57">
        <v>0</v>
      </c>
      <c r="AN127" s="61">
        <f t="shared" si="133"/>
        <v>10</v>
      </c>
      <c r="AO127" s="40">
        <f t="shared" si="147"/>
        <v>0</v>
      </c>
      <c r="AP127" s="40">
        <f t="shared" si="148"/>
        <v>0</v>
      </c>
      <c r="AQ127" s="44">
        <f t="shared" si="149"/>
        <v>5539.4774568064513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30</v>
      </c>
      <c r="G128" s="35">
        <f>SUMIFS(WORKING!$AC$3:$AC$6802,WORKING!$A$3:$A$6802,Results!$D$3,WORKING!$B$3:$B$6802,Results!A128,WORKING!$C$3:$C$6802,Results!C128)/1000</f>
        <v>12895.20002</v>
      </c>
      <c r="H128" s="35">
        <f t="shared" si="134"/>
        <v>429.8400006666667</v>
      </c>
      <c r="I128" s="187">
        <v>30</v>
      </c>
      <c r="J128" s="212">
        <v>13931</v>
      </c>
      <c r="K128" s="217">
        <f t="shared" si="135"/>
        <v>464.36666666666667</v>
      </c>
      <c r="L128" s="34">
        <f t="shared" si="128"/>
        <v>30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505.90240059380562</v>
      </c>
      <c r="N128" s="57">
        <v>1</v>
      </c>
      <c r="O128" s="57">
        <v>1</v>
      </c>
      <c r="P128" s="61">
        <f t="shared" si="129"/>
        <v>30</v>
      </c>
      <c r="Q128" s="40">
        <f t="shared" si="136"/>
        <v>505.90240059380562</v>
      </c>
      <c r="R128" s="40">
        <f t="shared" si="137"/>
        <v>-505.90240059380562</v>
      </c>
      <c r="S128" s="44">
        <f t="shared" si="138"/>
        <v>15177.072017814169</v>
      </c>
      <c r="T128" s="35">
        <f t="shared" si="139"/>
        <v>30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549.04553933536113</v>
      </c>
      <c r="V128" s="57">
        <v>0</v>
      </c>
      <c r="W128" s="57">
        <v>2</v>
      </c>
      <c r="X128" s="61">
        <f t="shared" si="130"/>
        <v>28</v>
      </c>
      <c r="Y128" s="40">
        <f t="shared" si="140"/>
        <v>0</v>
      </c>
      <c r="Z128" s="40">
        <f t="shared" si="141"/>
        <v>-1098.0910786707223</v>
      </c>
      <c r="AA128" s="44">
        <f t="shared" si="142"/>
        <v>15373.275101390111</v>
      </c>
      <c r="AB128" s="35">
        <f t="shared" si="143"/>
        <v>28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595.31118118820802</v>
      </c>
      <c r="AD128" s="57">
        <v>0</v>
      </c>
      <c r="AE128" s="57">
        <v>0</v>
      </c>
      <c r="AF128" s="61">
        <f t="shared" si="131"/>
        <v>28</v>
      </c>
      <c r="AG128" s="40">
        <f t="shared" si="144"/>
        <v>0</v>
      </c>
      <c r="AH128" s="40">
        <f t="shared" si="145"/>
        <v>0</v>
      </c>
      <c r="AI128" s="44">
        <f t="shared" si="146"/>
        <v>16668.713073269824</v>
      </c>
      <c r="AJ128" s="35">
        <f t="shared" si="132"/>
        <v>28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644.26814838949542</v>
      </c>
      <c r="AL128" s="57">
        <v>0</v>
      </c>
      <c r="AM128" s="57">
        <v>1</v>
      </c>
      <c r="AN128" s="61">
        <f t="shared" si="133"/>
        <v>27</v>
      </c>
      <c r="AO128" s="40">
        <f t="shared" si="147"/>
        <v>0</v>
      </c>
      <c r="AP128" s="40">
        <f t="shared" si="148"/>
        <v>-644.26814838949542</v>
      </c>
      <c r="AQ128" s="44">
        <f t="shared" si="149"/>
        <v>17395.240006516375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163.63561999999999</v>
      </c>
      <c r="H129" s="35">
        <f t="shared" si="134"/>
        <v>0</v>
      </c>
      <c r="I129" s="187">
        <v>0</v>
      </c>
      <c r="J129" s="212">
        <v>0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1</v>
      </c>
      <c r="O129" s="57">
        <v>0</v>
      </c>
      <c r="P129" s="61">
        <f t="shared" si="129"/>
        <v>1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1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1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1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1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1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1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13</v>
      </c>
      <c r="G130" s="35">
        <f>SUMIFS(WORKING!$AC$3:$AC$6802,WORKING!$A$3:$A$6802,Results!$D$3,WORKING!$B$3:$B$6802,Results!A130,WORKING!$C$3:$C$6802,Results!C130)/1000</f>
        <v>8396.9299099999989</v>
      </c>
      <c r="H130" s="35">
        <f t="shared" si="134"/>
        <v>645.91768538461531</v>
      </c>
      <c r="I130" s="187">
        <v>13</v>
      </c>
      <c r="J130" s="212">
        <v>8184</v>
      </c>
      <c r="K130" s="217">
        <f t="shared" si="135"/>
        <v>629.53846153846155</v>
      </c>
      <c r="L130" s="34">
        <f t="shared" si="128"/>
        <v>13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687.1211078901739</v>
      </c>
      <c r="N130" s="57">
        <v>1</v>
      </c>
      <c r="O130" s="57">
        <v>1</v>
      </c>
      <c r="P130" s="61">
        <f t="shared" si="129"/>
        <v>13</v>
      </c>
      <c r="Q130" s="40">
        <f t="shared" si="136"/>
        <v>687.1211078901739</v>
      </c>
      <c r="R130" s="40">
        <f t="shared" si="137"/>
        <v>-687.1211078901739</v>
      </c>
      <c r="S130" s="44">
        <f t="shared" si="138"/>
        <v>8932.5744025722615</v>
      </c>
      <c r="T130" s="35">
        <f t="shared" si="139"/>
        <v>13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745.78873288815203</v>
      </c>
      <c r="V130" s="57">
        <v>0</v>
      </c>
      <c r="W130" s="57">
        <v>0</v>
      </c>
      <c r="X130" s="61">
        <f t="shared" si="130"/>
        <v>13</v>
      </c>
      <c r="Y130" s="40">
        <f t="shared" si="140"/>
        <v>0</v>
      </c>
      <c r="Z130" s="40">
        <f t="shared" si="141"/>
        <v>0</v>
      </c>
      <c r="AA130" s="44">
        <f t="shared" si="142"/>
        <v>9695.2535275459759</v>
      </c>
      <c r="AB130" s="35">
        <f t="shared" si="143"/>
        <v>13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808.70899446751537</v>
      </c>
      <c r="AD130" s="57">
        <v>0</v>
      </c>
      <c r="AE130" s="57">
        <v>0</v>
      </c>
      <c r="AF130" s="61">
        <f t="shared" si="131"/>
        <v>13</v>
      </c>
      <c r="AG130" s="40">
        <f t="shared" si="144"/>
        <v>0</v>
      </c>
      <c r="AH130" s="40">
        <f t="shared" si="145"/>
        <v>0</v>
      </c>
      <c r="AI130" s="44">
        <f t="shared" si="146"/>
        <v>10513.2169280777</v>
      </c>
      <c r="AJ130" s="35">
        <f t="shared" si="132"/>
        <v>13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875.29700618793777</v>
      </c>
      <c r="AL130" s="57">
        <v>0</v>
      </c>
      <c r="AM130" s="57">
        <v>0</v>
      </c>
      <c r="AN130" s="61">
        <f t="shared" si="133"/>
        <v>13</v>
      </c>
      <c r="AO130" s="40">
        <f t="shared" si="147"/>
        <v>0</v>
      </c>
      <c r="AP130" s="40">
        <f t="shared" si="148"/>
        <v>0</v>
      </c>
      <c r="AQ130" s="44">
        <f t="shared" si="149"/>
        <v>11378.861080443192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6</v>
      </c>
      <c r="G131" s="35">
        <f>SUMIFS(WORKING!$AC$3:$AC$6802,WORKING!$A$3:$A$6802,Results!$D$3,WORKING!$B$3:$B$6802,Results!A131,WORKING!$C$3:$C$6802,Results!C131)/1000</f>
        <v>5081.9611999999988</v>
      </c>
      <c r="H131" s="35">
        <f t="shared" si="134"/>
        <v>846.99353333333318</v>
      </c>
      <c r="I131" s="187">
        <v>6</v>
      </c>
      <c r="J131" s="212">
        <v>4406</v>
      </c>
      <c r="K131" s="217">
        <f t="shared" si="135"/>
        <v>734.33333333333337</v>
      </c>
      <c r="L131" s="34">
        <f t="shared" si="128"/>
        <v>6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801.41106201925606</v>
      </c>
      <c r="N131" s="57">
        <v>0</v>
      </c>
      <c r="O131" s="57">
        <v>0</v>
      </c>
      <c r="P131" s="61">
        <f t="shared" si="129"/>
        <v>6</v>
      </c>
      <c r="Q131" s="40">
        <f t="shared" si="136"/>
        <v>0</v>
      </c>
      <c r="R131" s="40">
        <f t="shared" si="137"/>
        <v>0</v>
      </c>
      <c r="S131" s="44">
        <f t="shared" si="138"/>
        <v>4808.4663721155366</v>
      </c>
      <c r="T131" s="35">
        <f t="shared" si="139"/>
        <v>6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869.73896948109393</v>
      </c>
      <c r="V131" s="57">
        <v>0</v>
      </c>
      <c r="W131" s="57">
        <v>1</v>
      </c>
      <c r="X131" s="61">
        <f t="shared" si="130"/>
        <v>5</v>
      </c>
      <c r="Y131" s="40">
        <f t="shared" si="140"/>
        <v>0</v>
      </c>
      <c r="Z131" s="40">
        <f t="shared" si="141"/>
        <v>-869.73896948109393</v>
      </c>
      <c r="AA131" s="44">
        <f t="shared" si="142"/>
        <v>4348.6948474054698</v>
      </c>
      <c r="AB131" s="35">
        <f t="shared" si="143"/>
        <v>5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943.01033775119311</v>
      </c>
      <c r="AD131" s="57">
        <v>0</v>
      </c>
      <c r="AE131" s="57">
        <v>0</v>
      </c>
      <c r="AF131" s="61">
        <f t="shared" si="131"/>
        <v>5</v>
      </c>
      <c r="AG131" s="40">
        <f t="shared" si="144"/>
        <v>0</v>
      </c>
      <c r="AH131" s="40">
        <f t="shared" si="145"/>
        <v>0</v>
      </c>
      <c r="AI131" s="44">
        <f t="shared" si="146"/>
        <v>4715.0516887559652</v>
      </c>
      <c r="AJ131" s="35">
        <f t="shared" si="132"/>
        <v>5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1020.5415524064427</v>
      </c>
      <c r="AL131" s="57">
        <v>0</v>
      </c>
      <c r="AM131" s="57">
        <v>0</v>
      </c>
      <c r="AN131" s="61">
        <f t="shared" si="133"/>
        <v>5</v>
      </c>
      <c r="AO131" s="40">
        <f t="shared" si="147"/>
        <v>0</v>
      </c>
      <c r="AP131" s="40">
        <f t="shared" si="148"/>
        <v>0</v>
      </c>
      <c r="AQ131" s="44">
        <f t="shared" si="149"/>
        <v>5102.7077620322134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4</v>
      </c>
      <c r="G132" s="35">
        <f>SUMIFS(WORKING!$AC$3:$AC$6802,WORKING!$A$3:$A$6802,Results!$D$3,WORKING!$B$3:$B$6802,Results!A132,WORKING!$C$3:$C$6802,Results!C132)/1000</f>
        <v>4881.3916499999996</v>
      </c>
      <c r="H132" s="35">
        <f t="shared" si="134"/>
        <v>1220.3479124999999</v>
      </c>
      <c r="I132" s="187">
        <v>4</v>
      </c>
      <c r="J132" s="212">
        <v>3365</v>
      </c>
      <c r="K132" s="217">
        <f t="shared" si="135"/>
        <v>841.25</v>
      </c>
      <c r="L132" s="34">
        <f t="shared" si="128"/>
        <v>4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881.29049949195303</v>
      </c>
      <c r="N132" s="57">
        <v>0</v>
      </c>
      <c r="O132" s="57">
        <v>0</v>
      </c>
      <c r="P132" s="61">
        <f t="shared" si="129"/>
        <v>4</v>
      </c>
      <c r="Q132" s="40">
        <f t="shared" si="136"/>
        <v>0</v>
      </c>
      <c r="R132" s="40">
        <f t="shared" si="137"/>
        <v>0</v>
      </c>
      <c r="S132" s="44">
        <f t="shared" si="138"/>
        <v>3525.1619979678121</v>
      </c>
      <c r="T132" s="35">
        <f t="shared" si="139"/>
        <v>4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947.36785187126497</v>
      </c>
      <c r="V132" s="57">
        <v>0</v>
      </c>
      <c r="W132" s="57">
        <v>0</v>
      </c>
      <c r="X132" s="61">
        <f t="shared" si="130"/>
        <v>4</v>
      </c>
      <c r="Y132" s="40">
        <f t="shared" si="140"/>
        <v>0</v>
      </c>
      <c r="Z132" s="40">
        <f t="shared" si="141"/>
        <v>0</v>
      </c>
      <c r="AA132" s="44">
        <f t="shared" si="142"/>
        <v>3789.4714074850599</v>
      </c>
      <c r="AB132" s="35">
        <f t="shared" si="143"/>
        <v>4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1017.4387941854172</v>
      </c>
      <c r="AD132" s="57">
        <v>0</v>
      </c>
      <c r="AE132" s="57">
        <v>0</v>
      </c>
      <c r="AF132" s="61">
        <f t="shared" si="131"/>
        <v>4</v>
      </c>
      <c r="AG132" s="40">
        <f t="shared" si="144"/>
        <v>0</v>
      </c>
      <c r="AH132" s="40">
        <f t="shared" si="145"/>
        <v>0</v>
      </c>
      <c r="AI132" s="44">
        <f t="shared" si="146"/>
        <v>4069.7551767416689</v>
      </c>
      <c r="AJ132" s="35">
        <f t="shared" si="132"/>
        <v>4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1090.628820154602</v>
      </c>
      <c r="AL132" s="57">
        <v>0</v>
      </c>
      <c r="AM132" s="57">
        <v>0</v>
      </c>
      <c r="AN132" s="61">
        <f t="shared" si="133"/>
        <v>4</v>
      </c>
      <c r="AO132" s="40">
        <f t="shared" si="147"/>
        <v>0</v>
      </c>
      <c r="AP132" s="40">
        <f t="shared" si="148"/>
        <v>0</v>
      </c>
      <c r="AQ132" s="44">
        <f t="shared" si="149"/>
        <v>4362.5152806184078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</v>
      </c>
      <c r="G133" s="35">
        <f>SUMIFS(WORKING!$AC$3:$AC$6802,WORKING!$A$3:$A$6802,Results!$D$3,WORKING!$B$3:$B$6802,Results!A133,WORKING!$C$3:$C$6802,Results!C133)/1000</f>
        <v>1491.7668900000001</v>
      </c>
      <c r="H133" s="35">
        <f t="shared" si="134"/>
        <v>745.88344500000005</v>
      </c>
      <c r="I133" s="187">
        <v>2</v>
      </c>
      <c r="J133" s="212">
        <v>3390</v>
      </c>
      <c r="K133" s="217">
        <f t="shared" si="135"/>
        <v>1695</v>
      </c>
      <c r="L133" s="34">
        <f t="shared" si="128"/>
        <v>2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1776.7707162881836</v>
      </c>
      <c r="N133" s="57">
        <v>0</v>
      </c>
      <c r="O133" s="57">
        <v>0</v>
      </c>
      <c r="P133" s="61">
        <f t="shared" si="129"/>
        <v>2</v>
      </c>
      <c r="Q133" s="40">
        <f t="shared" si="136"/>
        <v>0</v>
      </c>
      <c r="R133" s="40">
        <f t="shared" si="137"/>
        <v>0</v>
      </c>
      <c r="S133" s="44">
        <f t="shared" si="138"/>
        <v>3553.5414325763672</v>
      </c>
      <c r="T133" s="35">
        <f t="shared" si="139"/>
        <v>2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1911.1669073693647</v>
      </c>
      <c r="V133" s="57">
        <v>0</v>
      </c>
      <c r="W133" s="57">
        <v>0</v>
      </c>
      <c r="X133" s="61">
        <f t="shared" si="130"/>
        <v>2</v>
      </c>
      <c r="Y133" s="40">
        <f t="shared" si="140"/>
        <v>0</v>
      </c>
      <c r="Z133" s="40">
        <f t="shared" si="141"/>
        <v>0</v>
      </c>
      <c r="AA133" s="44">
        <f t="shared" si="142"/>
        <v>3822.3338147387294</v>
      </c>
      <c r="AB133" s="35">
        <f t="shared" si="143"/>
        <v>2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2053.7895542982246</v>
      </c>
      <c r="AD133" s="57">
        <v>0</v>
      </c>
      <c r="AE133" s="57">
        <v>0</v>
      </c>
      <c r="AF133" s="61">
        <f t="shared" si="131"/>
        <v>2</v>
      </c>
      <c r="AG133" s="40">
        <f t="shared" si="144"/>
        <v>0</v>
      </c>
      <c r="AH133" s="40">
        <f t="shared" si="145"/>
        <v>0</v>
      </c>
      <c r="AI133" s="44">
        <f t="shared" si="146"/>
        <v>4107.5791085964493</v>
      </c>
      <c r="AJ133" s="35">
        <f t="shared" si="132"/>
        <v>2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2202.8873637987117</v>
      </c>
      <c r="AL133" s="57">
        <v>0</v>
      </c>
      <c r="AM133" s="57">
        <v>0</v>
      </c>
      <c r="AN133" s="61">
        <f t="shared" si="133"/>
        <v>2</v>
      </c>
      <c r="AO133" s="40">
        <f t="shared" si="147"/>
        <v>0</v>
      </c>
      <c r="AP133" s="40">
        <f t="shared" si="148"/>
        <v>0</v>
      </c>
      <c r="AQ133" s="44">
        <f t="shared" si="149"/>
        <v>4405.7747275974234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1306.2007999999998</v>
      </c>
      <c r="H134" s="35">
        <f t="shared" si="134"/>
        <v>1306.2007999999998</v>
      </c>
      <c r="I134" s="187">
        <v>1</v>
      </c>
      <c r="J134" s="212">
        <v>1704</v>
      </c>
      <c r="K134" s="217">
        <f t="shared" si="135"/>
        <v>1704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1786.634065831933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1786.634065831933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1922.2380699263579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1922.2380699263579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2066.1832323541748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2066.1832323541748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2216.7132571602278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2216.7132571602278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756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>
        <v>9</v>
      </c>
      <c r="J137" s="212">
        <v>375</v>
      </c>
      <c r="K137" s="217">
        <f t="shared" si="135"/>
        <v>41.666666666666664</v>
      </c>
      <c r="L137" s="34">
        <f t="shared" si="128"/>
        <v>9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43.041666666666664</v>
      </c>
      <c r="N137" s="57">
        <v>0</v>
      </c>
      <c r="O137" s="57">
        <v>9</v>
      </c>
      <c r="P137" s="61">
        <f t="shared" si="129"/>
        <v>0</v>
      </c>
      <c r="Q137" s="40">
        <f t="shared" si="136"/>
        <v>0</v>
      </c>
      <c r="R137" s="40">
        <f t="shared" si="137"/>
        <v>-387.375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45.624166666666667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48.3159925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51.070004072499998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94</v>
      </c>
      <c r="G140" s="41">
        <f>SUM(G120:G139)</f>
        <v>43093.500799999994</v>
      </c>
      <c r="H140" s="41">
        <f>IFERROR(G140/F140,0)</f>
        <v>458.44149787234039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94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43420</v>
      </c>
      <c r="K140" s="41">
        <f>IFERROR(J140/I140,"")</f>
        <v>461.91489361702128</v>
      </c>
      <c r="L140" s="41">
        <f>SUM(L120:L139)</f>
        <v>94</v>
      </c>
      <c r="M140" s="41">
        <f>IFERROR(S140/P140,0)</f>
        <v>553.07174485043436</v>
      </c>
      <c r="N140" s="41">
        <f t="shared" ref="N140:T140" si="151">SUM(N120:N139)</f>
        <v>4</v>
      </c>
      <c r="O140" s="41">
        <f t="shared" si="151"/>
        <v>15</v>
      </c>
      <c r="P140" s="41">
        <f t="shared" si="151"/>
        <v>83</v>
      </c>
      <c r="Q140" s="41">
        <f t="shared" si="151"/>
        <v>1628.1909418518776</v>
      </c>
      <c r="R140" s="41">
        <f t="shared" si="151"/>
        <v>-2677.1548171146646</v>
      </c>
      <c r="S140" s="45">
        <f t="shared" si="151"/>
        <v>45904.954822586056</v>
      </c>
      <c r="T140" s="41">
        <f t="shared" si="151"/>
        <v>83</v>
      </c>
      <c r="U140" s="41">
        <f>IFERROR(AA140/X140,0)</f>
        <v>627.03434762495669</v>
      </c>
      <c r="V140" s="41">
        <f t="shared" ref="V140:AB140" si="152">SUM(V120:V139)</f>
        <v>0</v>
      </c>
      <c r="W140" s="41">
        <f t="shared" si="152"/>
        <v>9</v>
      </c>
      <c r="X140" s="41">
        <f t="shared" si="152"/>
        <v>74</v>
      </c>
      <c r="Y140" s="41">
        <f t="shared" si="152"/>
        <v>0</v>
      </c>
      <c r="Z140" s="41">
        <f t="shared" si="152"/>
        <v>-3331.5963018315069</v>
      </c>
      <c r="AA140" s="45">
        <f t="shared" si="152"/>
        <v>46400.541724246796</v>
      </c>
      <c r="AB140" s="41">
        <f t="shared" si="152"/>
        <v>74</v>
      </c>
      <c r="AC140" s="41">
        <f>IFERROR(AI140/AF140,0)</f>
        <v>678.59102651957119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74</v>
      </c>
      <c r="AG140" s="41">
        <f t="shared" si="153"/>
        <v>0</v>
      </c>
      <c r="AH140" s="41">
        <f t="shared" si="153"/>
        <v>0</v>
      </c>
      <c r="AI140" s="45">
        <f t="shared" si="153"/>
        <v>50215.735962448271</v>
      </c>
      <c r="AJ140" s="41">
        <f t="shared" si="153"/>
        <v>74</v>
      </c>
      <c r="AK140" s="41">
        <f>IFERROR(AQ140/AN140,0)</f>
        <v>734.23617684162366</v>
      </c>
      <c r="AL140" s="41">
        <f t="shared" ref="AL140:AQ140" si="154">SUM(AL120:AL139)</f>
        <v>0</v>
      </c>
      <c r="AM140" s="41">
        <f t="shared" si="154"/>
        <v>1</v>
      </c>
      <c r="AN140" s="41">
        <f t="shared" si="154"/>
        <v>73</v>
      </c>
      <c r="AO140" s="41">
        <f t="shared" si="154"/>
        <v>0</v>
      </c>
      <c r="AP140" s="41">
        <f t="shared" si="154"/>
        <v>-644.26814838949542</v>
      </c>
      <c r="AQ140" s="45">
        <f t="shared" si="154"/>
        <v>53599.240909438529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48712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48262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50315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54138.94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2807.0451774139437</v>
      </c>
      <c r="T142" s="39"/>
      <c r="U142" s="39"/>
      <c r="V142" s="53"/>
      <c r="W142" s="53"/>
      <c r="X142" s="110"/>
      <c r="Y142" s="39"/>
      <c r="Z142" s="39"/>
      <c r="AA142" s="54">
        <f>AA141-AA140</f>
        <v>1861.4582757532044</v>
      </c>
      <c r="AB142" s="39"/>
      <c r="AC142" s="53"/>
      <c r="AD142" s="53"/>
      <c r="AE142" s="110"/>
      <c r="AF142" s="39"/>
      <c r="AG142" s="39"/>
      <c r="AH142" s="39"/>
      <c r="AI142" s="54">
        <f>AI141-AI140</f>
        <v>99.264037551729416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539.69909056147299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Heritage Promotion and Preservation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5</v>
      </c>
      <c r="G148" s="35">
        <f>SUMIFS(WORKING!$AC$3:$AC$6802,WORKING!$A$3:$A$6802,Results!$D$3,WORKING!$B$3:$B$6802,Results!A148,WORKING!$C$3:$C$6802,Results!C148)/1000</f>
        <v>4831.9551600000004</v>
      </c>
      <c r="H148" s="35">
        <f>IFERROR(G148/F148,0)</f>
        <v>966.39103200000011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1055.4342828692402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1146.2543824715033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1243.7261017083335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1346.9615627632286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11</v>
      </c>
      <c r="G149" s="35">
        <f>SUMIFS(WORKING!$AC$3:$AC$6802,WORKING!$A$3:$A$6802,Results!$D$3,WORKING!$B$3:$B$6802,Results!A149,WORKING!$C$3:$C$6802,Results!C149)/1000</f>
        <v>1804.0635400000003</v>
      </c>
      <c r="H149" s="35">
        <f t="shared" ref="H149:H167" si="161">IFERROR(G149/F149,0)</f>
        <v>164.00577636363639</v>
      </c>
      <c r="I149" s="187">
        <v>11</v>
      </c>
      <c r="J149" s="212">
        <v>1119</v>
      </c>
      <c r="K149" s="217">
        <f t="shared" ref="K149:K167" si="162">IFERROR(IF(J149="",G149,J149)/IF(I149="",F149,I149),"")</f>
        <v>101.72727272727273</v>
      </c>
      <c r="L149" s="34">
        <f t="shared" si="155"/>
        <v>11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110.26651063412362</v>
      </c>
      <c r="N149" s="57">
        <v>0</v>
      </c>
      <c r="O149" s="57">
        <v>2</v>
      </c>
      <c r="P149" s="61">
        <f t="shared" si="156"/>
        <v>9</v>
      </c>
      <c r="Q149" s="40">
        <f t="shared" ref="Q149:Q167" si="163">M149*N149</f>
        <v>0</v>
      </c>
      <c r="R149" s="40">
        <f t="shared" ref="R149:R167" si="164">-M149*O149</f>
        <v>-220.53302126824724</v>
      </c>
      <c r="S149" s="44">
        <f t="shared" ref="S149:S167" si="165">M149*P149</f>
        <v>992.39859570711258</v>
      </c>
      <c r="T149" s="35">
        <f t="shared" ref="T149:T167" si="166">P149</f>
        <v>9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119.4946852483544</v>
      </c>
      <c r="V149" s="57">
        <v>0</v>
      </c>
      <c r="W149" s="57">
        <v>0</v>
      </c>
      <c r="X149" s="61">
        <f t="shared" si="157"/>
        <v>9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1075.4521672351896</v>
      </c>
      <c r="AB149" s="35">
        <f t="shared" ref="AB149:AB167" si="170">X149</f>
        <v>9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129.37430282346281</v>
      </c>
      <c r="AD149" s="57">
        <v>1</v>
      </c>
      <c r="AE149" s="57">
        <v>0</v>
      </c>
      <c r="AF149" s="61">
        <f t="shared" si="158"/>
        <v>10</v>
      </c>
      <c r="AG149" s="40">
        <f t="shared" ref="AG149:AG167" si="171">AC149*AD149</f>
        <v>129.37430282346281</v>
      </c>
      <c r="AH149" s="40">
        <f t="shared" ref="AH149:AH167" si="172">-AC149*AE149</f>
        <v>0</v>
      </c>
      <c r="AI149" s="44">
        <f t="shared" ref="AI149:AI167" si="173">AC149*AF149</f>
        <v>1293.7430282346281</v>
      </c>
      <c r="AJ149" s="35">
        <f t="shared" si="159"/>
        <v>10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139.80904433527755</v>
      </c>
      <c r="AL149" s="57">
        <v>0</v>
      </c>
      <c r="AM149" s="57">
        <v>0</v>
      </c>
      <c r="AN149" s="61">
        <f t="shared" si="160"/>
        <v>10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1398.0904433527755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6</v>
      </c>
      <c r="G150" s="35">
        <f>SUMIFS(WORKING!$AC$3:$AC$6802,WORKING!$A$3:$A$6802,Results!$D$3,WORKING!$B$3:$B$6802,Results!A150,WORKING!$C$3:$C$6802,Results!C150)/1000</f>
        <v>1064.4204000000002</v>
      </c>
      <c r="H150" s="35">
        <f t="shared" si="161"/>
        <v>177.40340000000003</v>
      </c>
      <c r="I150" s="187">
        <v>6</v>
      </c>
      <c r="J150" s="212">
        <v>829</v>
      </c>
      <c r="K150" s="217">
        <f t="shared" si="162"/>
        <v>138.16666666666666</v>
      </c>
      <c r="L150" s="34">
        <f t="shared" si="155"/>
        <v>6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150.05511431958308</v>
      </c>
      <c r="N150" s="57">
        <v>0</v>
      </c>
      <c r="O150" s="57">
        <v>0</v>
      </c>
      <c r="P150" s="61">
        <f t="shared" si="156"/>
        <v>6</v>
      </c>
      <c r="Q150" s="40">
        <f t="shared" si="163"/>
        <v>0</v>
      </c>
      <c r="R150" s="40">
        <f t="shared" si="164"/>
        <v>0</v>
      </c>
      <c r="S150" s="44">
        <f t="shared" si="165"/>
        <v>900.3306859174985</v>
      </c>
      <c r="T150" s="35">
        <f t="shared" si="166"/>
        <v>6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162.70506968275851</v>
      </c>
      <c r="V150" s="57">
        <v>0</v>
      </c>
      <c r="W150" s="57">
        <v>3</v>
      </c>
      <c r="X150" s="61">
        <f t="shared" si="157"/>
        <v>3</v>
      </c>
      <c r="Y150" s="40">
        <f t="shared" si="167"/>
        <v>0</v>
      </c>
      <c r="Z150" s="40">
        <f t="shared" si="168"/>
        <v>-488.11520904827552</v>
      </c>
      <c r="AA150" s="44">
        <f t="shared" si="169"/>
        <v>488.11520904827552</v>
      </c>
      <c r="AB150" s="35">
        <f t="shared" si="170"/>
        <v>3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176.25668233598142</v>
      </c>
      <c r="AD150" s="57">
        <v>0</v>
      </c>
      <c r="AE150" s="57">
        <v>0</v>
      </c>
      <c r="AF150" s="61">
        <f t="shared" si="158"/>
        <v>3</v>
      </c>
      <c r="AG150" s="40">
        <f t="shared" si="171"/>
        <v>0</v>
      </c>
      <c r="AH150" s="40">
        <f t="shared" si="172"/>
        <v>0</v>
      </c>
      <c r="AI150" s="44">
        <f t="shared" si="173"/>
        <v>528.7700470079443</v>
      </c>
      <c r="AJ150" s="35">
        <f t="shared" si="159"/>
        <v>3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190.58003552768034</v>
      </c>
      <c r="AL150" s="57">
        <v>0</v>
      </c>
      <c r="AM150" s="57">
        <v>0</v>
      </c>
      <c r="AN150" s="61">
        <f t="shared" si="160"/>
        <v>3</v>
      </c>
      <c r="AO150" s="40">
        <f t="shared" si="174"/>
        <v>0</v>
      </c>
      <c r="AP150" s="40">
        <f t="shared" si="175"/>
        <v>0</v>
      </c>
      <c r="AQ150" s="44">
        <f t="shared" si="176"/>
        <v>571.74010658304098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10</v>
      </c>
      <c r="G151" s="35">
        <f>SUMIFS(WORKING!$AC$3:$AC$6802,WORKING!$A$3:$A$6802,Results!$D$3,WORKING!$B$3:$B$6802,Results!A151,WORKING!$C$3:$C$6802,Results!C151)/1000</f>
        <v>1593.57707</v>
      </c>
      <c r="H151" s="35">
        <f t="shared" si="161"/>
        <v>159.357707</v>
      </c>
      <c r="I151" s="187">
        <v>10</v>
      </c>
      <c r="J151" s="212">
        <v>1673</v>
      </c>
      <c r="K151" s="217">
        <f t="shared" si="162"/>
        <v>167.3</v>
      </c>
      <c r="L151" s="34">
        <f t="shared" si="155"/>
        <v>10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182.06277630203815</v>
      </c>
      <c r="N151" s="57">
        <v>0</v>
      </c>
      <c r="O151" s="57">
        <v>0</v>
      </c>
      <c r="P151" s="61">
        <f t="shared" si="156"/>
        <v>10</v>
      </c>
      <c r="Q151" s="40">
        <f t="shared" si="163"/>
        <v>0</v>
      </c>
      <c r="R151" s="40">
        <f t="shared" si="164"/>
        <v>0</v>
      </c>
      <c r="S151" s="44">
        <f t="shared" si="165"/>
        <v>1820.6277630203815</v>
      </c>
      <c r="T151" s="35">
        <f t="shared" si="166"/>
        <v>10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197.52856834409459</v>
      </c>
      <c r="V151" s="57">
        <v>0</v>
      </c>
      <c r="W151" s="57">
        <v>1</v>
      </c>
      <c r="X151" s="61">
        <f t="shared" si="157"/>
        <v>9</v>
      </c>
      <c r="Y151" s="40">
        <f t="shared" si="167"/>
        <v>0</v>
      </c>
      <c r="Z151" s="40">
        <f t="shared" si="168"/>
        <v>-197.52856834409459</v>
      </c>
      <c r="AA151" s="44">
        <f t="shared" si="169"/>
        <v>1777.7571150968513</v>
      </c>
      <c r="AB151" s="35">
        <f t="shared" si="170"/>
        <v>9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214.10779484727328</v>
      </c>
      <c r="AD151" s="57">
        <v>0</v>
      </c>
      <c r="AE151" s="57">
        <v>0</v>
      </c>
      <c r="AF151" s="61">
        <f t="shared" si="158"/>
        <v>9</v>
      </c>
      <c r="AG151" s="40">
        <f t="shared" si="171"/>
        <v>0</v>
      </c>
      <c r="AH151" s="40">
        <f t="shared" si="172"/>
        <v>0</v>
      </c>
      <c r="AI151" s="44">
        <f t="shared" si="173"/>
        <v>1926.9701536254595</v>
      </c>
      <c r="AJ151" s="35">
        <f t="shared" si="159"/>
        <v>9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231.6442448531657</v>
      </c>
      <c r="AL151" s="57">
        <v>0</v>
      </c>
      <c r="AM151" s="57">
        <v>0</v>
      </c>
      <c r="AN151" s="61">
        <f t="shared" si="160"/>
        <v>9</v>
      </c>
      <c r="AO151" s="40">
        <f t="shared" si="174"/>
        <v>0</v>
      </c>
      <c r="AP151" s="40">
        <f t="shared" si="175"/>
        <v>0</v>
      </c>
      <c r="AQ151" s="44">
        <f t="shared" si="176"/>
        <v>2084.7982036784915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15</v>
      </c>
      <c r="G152" s="35">
        <f>SUMIFS(WORKING!$AC$3:$AC$6802,WORKING!$A$3:$A$6802,Results!$D$3,WORKING!$B$3:$B$6802,Results!A152,WORKING!$C$3:$C$6802,Results!C152)/1000</f>
        <v>3100.0860699999998</v>
      </c>
      <c r="H152" s="35">
        <f t="shared" si="161"/>
        <v>206.67240466666667</v>
      </c>
      <c r="I152" s="187">
        <v>15</v>
      </c>
      <c r="J152" s="212">
        <v>2673</v>
      </c>
      <c r="K152" s="217">
        <f t="shared" si="162"/>
        <v>178.2</v>
      </c>
      <c r="L152" s="34">
        <f t="shared" si="155"/>
        <v>15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194.10433905819386</v>
      </c>
      <c r="N152" s="57">
        <v>0</v>
      </c>
      <c r="O152" s="57">
        <v>0</v>
      </c>
      <c r="P152" s="61">
        <f t="shared" si="156"/>
        <v>15</v>
      </c>
      <c r="Q152" s="40">
        <f t="shared" si="163"/>
        <v>0</v>
      </c>
      <c r="R152" s="40">
        <f t="shared" si="164"/>
        <v>0</v>
      </c>
      <c r="S152" s="44">
        <f t="shared" si="165"/>
        <v>2911.5650858729077</v>
      </c>
      <c r="T152" s="35">
        <f t="shared" si="166"/>
        <v>15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210.64735422978052</v>
      </c>
      <c r="V152" s="57">
        <v>0</v>
      </c>
      <c r="W152" s="57">
        <v>8</v>
      </c>
      <c r="X152" s="61">
        <f t="shared" si="157"/>
        <v>7</v>
      </c>
      <c r="Y152" s="40">
        <f t="shared" si="167"/>
        <v>0</v>
      </c>
      <c r="Z152" s="40">
        <f t="shared" si="168"/>
        <v>-1685.1788338382441</v>
      </c>
      <c r="AA152" s="44">
        <f t="shared" si="169"/>
        <v>1474.5314796084635</v>
      </c>
      <c r="AB152" s="35">
        <f t="shared" si="170"/>
        <v>7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228.38664797310076</v>
      </c>
      <c r="AD152" s="57">
        <v>0</v>
      </c>
      <c r="AE152" s="57">
        <v>0</v>
      </c>
      <c r="AF152" s="61">
        <f t="shared" si="158"/>
        <v>7</v>
      </c>
      <c r="AG152" s="40">
        <f t="shared" si="171"/>
        <v>0</v>
      </c>
      <c r="AH152" s="40">
        <f t="shared" si="172"/>
        <v>0</v>
      </c>
      <c r="AI152" s="44">
        <f t="shared" si="173"/>
        <v>1598.7065358117054</v>
      </c>
      <c r="AJ152" s="35">
        <f t="shared" si="159"/>
        <v>7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247.15656185318286</v>
      </c>
      <c r="AL152" s="57">
        <v>0</v>
      </c>
      <c r="AM152" s="57">
        <v>1</v>
      </c>
      <c r="AN152" s="61">
        <f t="shared" si="160"/>
        <v>6</v>
      </c>
      <c r="AO152" s="40">
        <f t="shared" si="174"/>
        <v>0</v>
      </c>
      <c r="AP152" s="40">
        <f t="shared" si="175"/>
        <v>-247.15656185318286</v>
      </c>
      <c r="AQ152" s="44">
        <f t="shared" si="176"/>
        <v>1482.9393711190971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6</v>
      </c>
      <c r="G153" s="35">
        <f>SUMIFS(WORKING!$AC$3:$AC$6802,WORKING!$A$3:$A$6802,Results!$D$3,WORKING!$B$3:$B$6802,Results!A153,WORKING!$C$3:$C$6802,Results!C153)/1000</f>
        <v>1517.0271200000002</v>
      </c>
      <c r="H153" s="35">
        <f t="shared" si="161"/>
        <v>252.83785333333336</v>
      </c>
      <c r="I153" s="187">
        <v>6</v>
      </c>
      <c r="J153" s="212">
        <v>1465</v>
      </c>
      <c r="K153" s="217">
        <f t="shared" si="162"/>
        <v>244.16666666666666</v>
      </c>
      <c r="L153" s="34">
        <f t="shared" si="155"/>
        <v>6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265.66979890052681</v>
      </c>
      <c r="N153" s="57">
        <v>3</v>
      </c>
      <c r="O153" s="57">
        <v>0</v>
      </c>
      <c r="P153" s="61">
        <f t="shared" si="156"/>
        <v>9</v>
      </c>
      <c r="Q153" s="40">
        <f t="shared" si="163"/>
        <v>797.0093967015805</v>
      </c>
      <c r="R153" s="40">
        <f t="shared" si="164"/>
        <v>0</v>
      </c>
      <c r="S153" s="44">
        <f t="shared" si="165"/>
        <v>2391.0281901047415</v>
      </c>
      <c r="T153" s="35">
        <f t="shared" si="166"/>
        <v>9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288.22059724467823</v>
      </c>
      <c r="V153" s="57">
        <v>0</v>
      </c>
      <c r="W153" s="57">
        <v>0</v>
      </c>
      <c r="X153" s="61">
        <f t="shared" si="157"/>
        <v>9</v>
      </c>
      <c r="Y153" s="40">
        <f t="shared" si="167"/>
        <v>0</v>
      </c>
      <c r="Z153" s="40">
        <f t="shared" si="168"/>
        <v>0</v>
      </c>
      <c r="AA153" s="44">
        <f t="shared" si="169"/>
        <v>2593.985375202104</v>
      </c>
      <c r="AB153" s="35">
        <f t="shared" si="170"/>
        <v>9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312.3934892132429</v>
      </c>
      <c r="AD153" s="57">
        <v>0</v>
      </c>
      <c r="AE153" s="57">
        <v>0</v>
      </c>
      <c r="AF153" s="61">
        <f t="shared" si="158"/>
        <v>9</v>
      </c>
      <c r="AG153" s="40">
        <f t="shared" si="171"/>
        <v>0</v>
      </c>
      <c r="AH153" s="40">
        <f t="shared" si="172"/>
        <v>0</v>
      </c>
      <c r="AI153" s="44">
        <f t="shared" si="173"/>
        <v>2811.5414029191861</v>
      </c>
      <c r="AJ153" s="35">
        <f t="shared" si="159"/>
        <v>9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337.96059112378333</v>
      </c>
      <c r="AL153" s="57">
        <v>0</v>
      </c>
      <c r="AM153" s="57">
        <v>0</v>
      </c>
      <c r="AN153" s="61">
        <f t="shared" si="160"/>
        <v>9</v>
      </c>
      <c r="AO153" s="40">
        <f t="shared" si="174"/>
        <v>0</v>
      </c>
      <c r="AP153" s="40">
        <f t="shared" si="175"/>
        <v>0</v>
      </c>
      <c r="AQ153" s="44">
        <f t="shared" si="176"/>
        <v>3041.6453201140498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29</v>
      </c>
      <c r="G154" s="35">
        <f>SUMIFS(WORKING!$AC$3:$AC$6802,WORKING!$A$3:$A$6802,Results!$D$3,WORKING!$B$3:$B$6802,Results!A154,WORKING!$C$3:$C$6802,Results!C154)/1000</f>
        <v>9151.9416400000027</v>
      </c>
      <c r="H154" s="35">
        <f t="shared" si="161"/>
        <v>315.58419448275873</v>
      </c>
      <c r="I154" s="187">
        <v>29</v>
      </c>
      <c r="J154" s="212">
        <v>8026</v>
      </c>
      <c r="K154" s="217">
        <f t="shared" si="162"/>
        <v>276.75862068965517</v>
      </c>
      <c r="L154" s="34">
        <f t="shared" si="155"/>
        <v>29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301.2808152619736</v>
      </c>
      <c r="N154" s="57">
        <v>0</v>
      </c>
      <c r="O154" s="57">
        <v>2</v>
      </c>
      <c r="P154" s="61">
        <f t="shared" si="156"/>
        <v>27</v>
      </c>
      <c r="Q154" s="40">
        <f t="shared" si="163"/>
        <v>0</v>
      </c>
      <c r="R154" s="40">
        <f t="shared" si="164"/>
        <v>-602.5616305239472</v>
      </c>
      <c r="S154" s="44">
        <f t="shared" si="165"/>
        <v>8134.5820120732869</v>
      </c>
      <c r="T154" s="35">
        <f t="shared" si="166"/>
        <v>27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326.90198643827699</v>
      </c>
      <c r="V154" s="57">
        <v>0</v>
      </c>
      <c r="W154" s="57">
        <v>1</v>
      </c>
      <c r="X154" s="61">
        <f t="shared" si="157"/>
        <v>26</v>
      </c>
      <c r="Y154" s="40">
        <f t="shared" si="167"/>
        <v>0</v>
      </c>
      <c r="Z154" s="40">
        <f t="shared" si="168"/>
        <v>-326.90198643827699</v>
      </c>
      <c r="AA154" s="44">
        <f t="shared" si="169"/>
        <v>8499.4516473952026</v>
      </c>
      <c r="AB154" s="35">
        <f t="shared" si="170"/>
        <v>26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354.37059556079663</v>
      </c>
      <c r="AD154" s="57">
        <v>0</v>
      </c>
      <c r="AE154" s="57">
        <v>0</v>
      </c>
      <c r="AF154" s="61">
        <f t="shared" si="158"/>
        <v>26</v>
      </c>
      <c r="AG154" s="40">
        <f t="shared" si="171"/>
        <v>0</v>
      </c>
      <c r="AH154" s="40">
        <f t="shared" si="172"/>
        <v>0</v>
      </c>
      <c r="AI154" s="44">
        <f t="shared" si="173"/>
        <v>9213.6354845807127</v>
      </c>
      <c r="AJ154" s="35">
        <f t="shared" si="159"/>
        <v>26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383.4288008742401</v>
      </c>
      <c r="AL154" s="57">
        <v>0</v>
      </c>
      <c r="AM154" s="57">
        <v>0</v>
      </c>
      <c r="AN154" s="61">
        <f t="shared" si="160"/>
        <v>26</v>
      </c>
      <c r="AO154" s="40">
        <f t="shared" si="174"/>
        <v>0</v>
      </c>
      <c r="AP154" s="40">
        <f t="shared" si="175"/>
        <v>0</v>
      </c>
      <c r="AQ154" s="44">
        <f t="shared" si="176"/>
        <v>9969.1488227302434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3</v>
      </c>
      <c r="G155" s="35">
        <f>SUMIFS(WORKING!$AC$3:$AC$6802,WORKING!$A$3:$A$6802,Results!$D$3,WORKING!$B$3:$B$6802,Results!A155,WORKING!$C$3:$C$6802,Results!C155)/1000</f>
        <v>1372.7533600000004</v>
      </c>
      <c r="H155" s="35">
        <f t="shared" si="161"/>
        <v>457.58445333333344</v>
      </c>
      <c r="I155" s="187">
        <v>3</v>
      </c>
      <c r="J155" s="212">
        <v>1117</v>
      </c>
      <c r="K155" s="217">
        <f t="shared" si="162"/>
        <v>372.33333333333331</v>
      </c>
      <c r="L155" s="34">
        <f t="shared" si="155"/>
        <v>3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405.63986935241877</v>
      </c>
      <c r="N155" s="57">
        <v>0</v>
      </c>
      <c r="O155" s="57">
        <v>0</v>
      </c>
      <c r="P155" s="61">
        <f t="shared" si="156"/>
        <v>3</v>
      </c>
      <c r="Q155" s="40">
        <f t="shared" si="163"/>
        <v>0</v>
      </c>
      <c r="R155" s="40">
        <f t="shared" si="164"/>
        <v>0</v>
      </c>
      <c r="S155" s="44">
        <f t="shared" si="165"/>
        <v>1216.9196080572563</v>
      </c>
      <c r="T155" s="35">
        <f t="shared" si="166"/>
        <v>3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440.23475484748423</v>
      </c>
      <c r="V155" s="57">
        <v>0</v>
      </c>
      <c r="W155" s="57">
        <v>0</v>
      </c>
      <c r="X155" s="61">
        <f t="shared" si="157"/>
        <v>3</v>
      </c>
      <c r="Y155" s="40">
        <f t="shared" si="167"/>
        <v>0</v>
      </c>
      <c r="Z155" s="40">
        <f t="shared" si="168"/>
        <v>0</v>
      </c>
      <c r="AA155" s="44">
        <f t="shared" si="169"/>
        <v>1320.7042645424526</v>
      </c>
      <c r="AB155" s="35">
        <f t="shared" si="170"/>
        <v>3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477.33359419537851</v>
      </c>
      <c r="AD155" s="57">
        <v>0</v>
      </c>
      <c r="AE155" s="57">
        <v>0</v>
      </c>
      <c r="AF155" s="61">
        <f t="shared" si="158"/>
        <v>3</v>
      </c>
      <c r="AG155" s="40">
        <f t="shared" si="171"/>
        <v>0</v>
      </c>
      <c r="AH155" s="40">
        <f t="shared" si="172"/>
        <v>0</v>
      </c>
      <c r="AI155" s="44">
        <f t="shared" si="173"/>
        <v>1432.0007825861355</v>
      </c>
      <c r="AJ155" s="35">
        <f t="shared" si="159"/>
        <v>3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516.59060419149944</v>
      </c>
      <c r="AL155" s="57">
        <v>0</v>
      </c>
      <c r="AM155" s="57">
        <v>0</v>
      </c>
      <c r="AN155" s="61">
        <f t="shared" si="160"/>
        <v>3</v>
      </c>
      <c r="AO155" s="40">
        <f t="shared" si="174"/>
        <v>0</v>
      </c>
      <c r="AP155" s="40">
        <f t="shared" si="175"/>
        <v>0</v>
      </c>
      <c r="AQ155" s="44">
        <f t="shared" si="176"/>
        <v>1549.7718125744982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14</v>
      </c>
      <c r="G156" s="35">
        <f>SUMIFS(WORKING!$AC$3:$AC$6802,WORKING!$A$3:$A$6802,Results!$D$3,WORKING!$B$3:$B$6802,Results!A156,WORKING!$C$3:$C$6802,Results!C156)/1000</f>
        <v>6124.7630699999991</v>
      </c>
      <c r="H156" s="35">
        <f t="shared" si="161"/>
        <v>437.48307642857134</v>
      </c>
      <c r="I156" s="187">
        <v>14</v>
      </c>
      <c r="J156" s="212">
        <v>7348</v>
      </c>
      <c r="K156" s="217">
        <f t="shared" si="162"/>
        <v>524.85714285714289</v>
      </c>
      <c r="L156" s="34">
        <f t="shared" si="155"/>
        <v>14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572.02639288217154</v>
      </c>
      <c r="N156" s="57">
        <v>1</v>
      </c>
      <c r="O156" s="57">
        <v>0</v>
      </c>
      <c r="P156" s="61">
        <f t="shared" si="156"/>
        <v>15</v>
      </c>
      <c r="Q156" s="40">
        <f t="shared" si="163"/>
        <v>572.02639288217154</v>
      </c>
      <c r="R156" s="40">
        <f t="shared" si="164"/>
        <v>0</v>
      </c>
      <c r="S156" s="44">
        <f t="shared" si="165"/>
        <v>8580.3958932325731</v>
      </c>
      <c r="T156" s="35">
        <f t="shared" si="166"/>
        <v>15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620.87693683716634</v>
      </c>
      <c r="V156" s="57">
        <v>0</v>
      </c>
      <c r="W156" s="57">
        <v>0</v>
      </c>
      <c r="X156" s="61">
        <f t="shared" si="157"/>
        <v>15</v>
      </c>
      <c r="Y156" s="40">
        <f t="shared" si="167"/>
        <v>0</v>
      </c>
      <c r="Z156" s="40">
        <f t="shared" si="168"/>
        <v>0</v>
      </c>
      <c r="AA156" s="44">
        <f t="shared" si="169"/>
        <v>9313.1540525574947</v>
      </c>
      <c r="AB156" s="35">
        <f t="shared" si="170"/>
        <v>15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673.26966491050882</v>
      </c>
      <c r="AD156" s="57">
        <v>0</v>
      </c>
      <c r="AE156" s="57">
        <v>0</v>
      </c>
      <c r="AF156" s="61">
        <f t="shared" si="158"/>
        <v>15</v>
      </c>
      <c r="AG156" s="40">
        <f t="shared" si="171"/>
        <v>0</v>
      </c>
      <c r="AH156" s="40">
        <f t="shared" si="172"/>
        <v>0</v>
      </c>
      <c r="AI156" s="44">
        <f t="shared" si="173"/>
        <v>10099.044973657632</v>
      </c>
      <c r="AJ156" s="35">
        <f t="shared" si="159"/>
        <v>15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728.71807899004011</v>
      </c>
      <c r="AL156" s="57">
        <v>1</v>
      </c>
      <c r="AM156" s="57">
        <v>0</v>
      </c>
      <c r="AN156" s="61">
        <f t="shared" si="160"/>
        <v>16</v>
      </c>
      <c r="AO156" s="40">
        <f t="shared" si="174"/>
        <v>728.71807899004011</v>
      </c>
      <c r="AP156" s="40">
        <f t="shared" si="175"/>
        <v>0</v>
      </c>
      <c r="AQ156" s="44">
        <f t="shared" si="176"/>
        <v>11659.489263840642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2</v>
      </c>
      <c r="G157" s="35">
        <f>SUMIFS(WORKING!$AC$3:$AC$6802,WORKING!$A$3:$A$6802,Results!$D$3,WORKING!$B$3:$B$6802,Results!A157,WORKING!$C$3:$C$6802,Results!C157)/1000</f>
        <v>1536.2918100000002</v>
      </c>
      <c r="H157" s="35">
        <f t="shared" si="161"/>
        <v>768.14590500000008</v>
      </c>
      <c r="I157" s="187">
        <v>2</v>
      </c>
      <c r="J157" s="212">
        <v>1127</v>
      </c>
      <c r="K157" s="217">
        <f t="shared" si="162"/>
        <v>563.5</v>
      </c>
      <c r="L157" s="34">
        <f t="shared" si="155"/>
        <v>2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614.64247022909319</v>
      </c>
      <c r="N157" s="57">
        <v>0</v>
      </c>
      <c r="O157" s="57">
        <v>0</v>
      </c>
      <c r="P157" s="61">
        <f t="shared" si="156"/>
        <v>2</v>
      </c>
      <c r="Q157" s="40">
        <f t="shared" si="163"/>
        <v>0</v>
      </c>
      <c r="R157" s="40">
        <f t="shared" si="164"/>
        <v>0</v>
      </c>
      <c r="S157" s="44">
        <f t="shared" si="165"/>
        <v>1229.2849404581864</v>
      </c>
      <c r="T157" s="35">
        <f t="shared" si="166"/>
        <v>2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667.28838451948673</v>
      </c>
      <c r="V157" s="57">
        <v>0</v>
      </c>
      <c r="W157" s="57">
        <v>1</v>
      </c>
      <c r="X157" s="61">
        <f t="shared" si="157"/>
        <v>1</v>
      </c>
      <c r="Y157" s="40">
        <f t="shared" si="167"/>
        <v>0</v>
      </c>
      <c r="Z157" s="40">
        <f t="shared" si="168"/>
        <v>-667.28838451948673</v>
      </c>
      <c r="AA157" s="44">
        <f t="shared" si="169"/>
        <v>667.28838451948673</v>
      </c>
      <c r="AB157" s="35">
        <f t="shared" si="170"/>
        <v>1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723.76668018029511</v>
      </c>
      <c r="AD157" s="57">
        <v>0</v>
      </c>
      <c r="AE157" s="57">
        <v>0</v>
      </c>
      <c r="AF157" s="61">
        <f t="shared" si="158"/>
        <v>1</v>
      </c>
      <c r="AG157" s="40">
        <f t="shared" si="171"/>
        <v>0</v>
      </c>
      <c r="AH157" s="40">
        <f t="shared" si="172"/>
        <v>0</v>
      </c>
      <c r="AI157" s="44">
        <f t="shared" si="173"/>
        <v>723.76668018029511</v>
      </c>
      <c r="AJ157" s="35">
        <f t="shared" si="159"/>
        <v>1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783.55684363106127</v>
      </c>
      <c r="AL157" s="57">
        <v>0</v>
      </c>
      <c r="AM157" s="57">
        <v>0</v>
      </c>
      <c r="AN157" s="61">
        <f t="shared" si="160"/>
        <v>1</v>
      </c>
      <c r="AO157" s="40">
        <f t="shared" si="174"/>
        <v>0</v>
      </c>
      <c r="AP157" s="40">
        <f t="shared" si="175"/>
        <v>0</v>
      </c>
      <c r="AQ157" s="44">
        <f t="shared" si="176"/>
        <v>783.55684363106127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10</v>
      </c>
      <c r="G158" s="35">
        <f>SUMIFS(WORKING!$AC$3:$AC$6802,WORKING!$A$3:$A$6802,Results!$D$3,WORKING!$B$3:$B$6802,Results!A158,WORKING!$C$3:$C$6802,Results!C158)/1000</f>
        <v>6441.0140200000005</v>
      </c>
      <c r="H158" s="35">
        <f t="shared" si="161"/>
        <v>644.10140200000001</v>
      </c>
      <c r="I158" s="187">
        <v>10</v>
      </c>
      <c r="J158" s="212">
        <v>6160</v>
      </c>
      <c r="K158" s="217">
        <f t="shared" si="162"/>
        <v>616</v>
      </c>
      <c r="L158" s="34">
        <f t="shared" si="155"/>
        <v>10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672.48060271107317</v>
      </c>
      <c r="N158" s="57">
        <v>0</v>
      </c>
      <c r="O158" s="57">
        <v>0</v>
      </c>
      <c r="P158" s="61">
        <f t="shared" si="156"/>
        <v>10</v>
      </c>
      <c r="Q158" s="40">
        <f t="shared" si="163"/>
        <v>0</v>
      </c>
      <c r="R158" s="40">
        <f t="shared" si="164"/>
        <v>0</v>
      </c>
      <c r="S158" s="44">
        <f t="shared" si="165"/>
        <v>6724.8060271107315</v>
      </c>
      <c r="T158" s="35">
        <f t="shared" si="166"/>
        <v>10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730.04615503282002</v>
      </c>
      <c r="V158" s="57">
        <v>0</v>
      </c>
      <c r="W158" s="57">
        <v>0</v>
      </c>
      <c r="X158" s="61">
        <f t="shared" si="157"/>
        <v>10</v>
      </c>
      <c r="Y158" s="40">
        <f t="shared" si="167"/>
        <v>0</v>
      </c>
      <c r="Z158" s="40">
        <f t="shared" si="168"/>
        <v>0</v>
      </c>
      <c r="AA158" s="44">
        <f t="shared" si="169"/>
        <v>7300.4615503282002</v>
      </c>
      <c r="AB158" s="35">
        <f t="shared" si="170"/>
        <v>10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791.79873139614165</v>
      </c>
      <c r="AD158" s="57">
        <v>0</v>
      </c>
      <c r="AE158" s="57">
        <v>0</v>
      </c>
      <c r="AF158" s="61">
        <f t="shared" si="158"/>
        <v>10</v>
      </c>
      <c r="AG158" s="40">
        <f t="shared" si="171"/>
        <v>0</v>
      </c>
      <c r="AH158" s="40">
        <f t="shared" si="172"/>
        <v>0</v>
      </c>
      <c r="AI158" s="44">
        <f t="shared" si="173"/>
        <v>7917.9873139614165</v>
      </c>
      <c r="AJ158" s="35">
        <f t="shared" si="159"/>
        <v>10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857.16809856559723</v>
      </c>
      <c r="AL158" s="57">
        <v>0</v>
      </c>
      <c r="AM158" s="57">
        <v>0</v>
      </c>
      <c r="AN158" s="61">
        <f t="shared" si="160"/>
        <v>10</v>
      </c>
      <c r="AO158" s="40">
        <f t="shared" si="174"/>
        <v>0</v>
      </c>
      <c r="AP158" s="40">
        <f t="shared" si="175"/>
        <v>0</v>
      </c>
      <c r="AQ158" s="44">
        <f t="shared" si="176"/>
        <v>8571.6809856559721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6</v>
      </c>
      <c r="G159" s="35">
        <f>SUMIFS(WORKING!$AC$3:$AC$6802,WORKING!$A$3:$A$6802,Results!$D$3,WORKING!$B$3:$B$6802,Results!A159,WORKING!$C$3:$C$6802,Results!C159)/1000</f>
        <v>5153.9655599999996</v>
      </c>
      <c r="H159" s="35">
        <f t="shared" si="161"/>
        <v>858.99425999999994</v>
      </c>
      <c r="I159" s="187">
        <v>6</v>
      </c>
      <c r="J159" s="212">
        <v>3617</v>
      </c>
      <c r="K159" s="217">
        <f t="shared" si="162"/>
        <v>602.83333333333337</v>
      </c>
      <c r="L159" s="34">
        <f t="shared" si="155"/>
        <v>6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658.0918191089678</v>
      </c>
      <c r="N159" s="57">
        <v>0</v>
      </c>
      <c r="O159" s="57">
        <v>0</v>
      </c>
      <c r="P159" s="61">
        <f t="shared" si="156"/>
        <v>6</v>
      </c>
      <c r="Q159" s="40">
        <f t="shared" si="163"/>
        <v>0</v>
      </c>
      <c r="R159" s="40">
        <f t="shared" si="164"/>
        <v>0</v>
      </c>
      <c r="S159" s="44">
        <f t="shared" si="165"/>
        <v>3948.550914653807</v>
      </c>
      <c r="T159" s="35">
        <f t="shared" si="166"/>
        <v>6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714.40951806158171</v>
      </c>
      <c r="V159" s="57">
        <v>0</v>
      </c>
      <c r="W159" s="57">
        <v>0</v>
      </c>
      <c r="X159" s="61">
        <f t="shared" si="157"/>
        <v>6</v>
      </c>
      <c r="Y159" s="40">
        <f t="shared" si="167"/>
        <v>0</v>
      </c>
      <c r="Z159" s="40">
        <f t="shared" si="168"/>
        <v>0</v>
      </c>
      <c r="AA159" s="44">
        <f t="shared" si="169"/>
        <v>4286.45710836949</v>
      </c>
      <c r="AB159" s="35">
        <f t="shared" si="170"/>
        <v>6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774.82192171366125</v>
      </c>
      <c r="AD159" s="57">
        <v>0</v>
      </c>
      <c r="AE159" s="57">
        <v>0</v>
      </c>
      <c r="AF159" s="61">
        <f t="shared" si="158"/>
        <v>6</v>
      </c>
      <c r="AG159" s="40">
        <f t="shared" si="171"/>
        <v>0</v>
      </c>
      <c r="AH159" s="40">
        <f t="shared" si="172"/>
        <v>0</v>
      </c>
      <c r="AI159" s="44">
        <f t="shared" si="173"/>
        <v>4648.9315302819678</v>
      </c>
      <c r="AJ159" s="35">
        <f t="shared" si="159"/>
        <v>6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838.77075797339921</v>
      </c>
      <c r="AL159" s="57">
        <v>0</v>
      </c>
      <c r="AM159" s="57">
        <v>0</v>
      </c>
      <c r="AN159" s="61">
        <f t="shared" si="160"/>
        <v>6</v>
      </c>
      <c r="AO159" s="40">
        <f t="shared" si="174"/>
        <v>0</v>
      </c>
      <c r="AP159" s="40">
        <f t="shared" si="175"/>
        <v>0</v>
      </c>
      <c r="AQ159" s="44">
        <f t="shared" si="176"/>
        <v>5032.6245478403953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5</v>
      </c>
      <c r="G160" s="35">
        <f>SUMIFS(WORKING!$AC$3:$AC$6802,WORKING!$A$3:$A$6802,Results!$D$3,WORKING!$B$3:$B$6802,Results!A160,WORKING!$C$3:$C$6802,Results!C160)/1000</f>
        <v>5379.8170999999993</v>
      </c>
      <c r="H160" s="35">
        <f t="shared" si="161"/>
        <v>1075.9634199999998</v>
      </c>
      <c r="I160" s="187">
        <v>5</v>
      </c>
      <c r="J160" s="212">
        <v>8232</v>
      </c>
      <c r="K160" s="217">
        <f t="shared" si="162"/>
        <v>1646.4</v>
      </c>
      <c r="L160" s="34">
        <f t="shared" si="155"/>
        <v>5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1725.9162818074115</v>
      </c>
      <c r="N160" s="57">
        <v>1</v>
      </c>
      <c r="O160" s="57">
        <v>0</v>
      </c>
      <c r="P160" s="61">
        <f t="shared" si="156"/>
        <v>6</v>
      </c>
      <c r="Q160" s="40">
        <f t="shared" si="163"/>
        <v>1725.9162818074115</v>
      </c>
      <c r="R160" s="40">
        <f t="shared" si="164"/>
        <v>0</v>
      </c>
      <c r="S160" s="44">
        <f t="shared" si="165"/>
        <v>10355.49769084447</v>
      </c>
      <c r="T160" s="35">
        <f t="shared" si="166"/>
        <v>6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1856.5627728334705</v>
      </c>
      <c r="V160" s="57">
        <v>0</v>
      </c>
      <c r="W160" s="57">
        <v>1</v>
      </c>
      <c r="X160" s="61">
        <f t="shared" si="157"/>
        <v>5</v>
      </c>
      <c r="Y160" s="40">
        <f t="shared" si="167"/>
        <v>0</v>
      </c>
      <c r="Z160" s="40">
        <f t="shared" si="168"/>
        <v>-1856.5627728334705</v>
      </c>
      <c r="AA160" s="44">
        <f t="shared" si="169"/>
        <v>9282.8138641673522</v>
      </c>
      <c r="AB160" s="35">
        <f t="shared" si="170"/>
        <v>5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1995.2147411553444</v>
      </c>
      <c r="AD160" s="57">
        <v>0</v>
      </c>
      <c r="AE160" s="57">
        <v>0</v>
      </c>
      <c r="AF160" s="61">
        <f t="shared" si="158"/>
        <v>5</v>
      </c>
      <c r="AG160" s="40">
        <f t="shared" si="171"/>
        <v>0</v>
      </c>
      <c r="AH160" s="40">
        <f t="shared" si="172"/>
        <v>0</v>
      </c>
      <c r="AI160" s="44">
        <f t="shared" si="173"/>
        <v>9976.0737057767219</v>
      </c>
      <c r="AJ160" s="35">
        <f t="shared" si="159"/>
        <v>5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2140.1720054806501</v>
      </c>
      <c r="AL160" s="57">
        <v>0</v>
      </c>
      <c r="AM160" s="57">
        <v>0</v>
      </c>
      <c r="AN160" s="61">
        <f t="shared" si="160"/>
        <v>5</v>
      </c>
      <c r="AO160" s="40">
        <f t="shared" si="174"/>
        <v>0</v>
      </c>
      <c r="AP160" s="40">
        <f t="shared" si="175"/>
        <v>0</v>
      </c>
      <c r="AQ160" s="44">
        <f t="shared" si="176"/>
        <v>10700.860027403251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2</v>
      </c>
      <c r="G161" s="35">
        <f>SUMIFS(WORKING!$AC$3:$AC$6802,WORKING!$A$3:$A$6802,Results!$D$3,WORKING!$B$3:$B$6802,Results!A161,WORKING!$C$3:$C$6802,Results!C161)/1000</f>
        <v>1715.0891600000002</v>
      </c>
      <c r="H161" s="35">
        <f t="shared" si="161"/>
        <v>857.54458000000011</v>
      </c>
      <c r="I161" s="187">
        <v>2</v>
      </c>
      <c r="J161" s="212">
        <v>2890</v>
      </c>
      <c r="K161" s="217">
        <f t="shared" si="162"/>
        <v>1445</v>
      </c>
      <c r="L161" s="34">
        <f t="shared" si="155"/>
        <v>2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1515.0739811313153</v>
      </c>
      <c r="N161" s="57">
        <v>0</v>
      </c>
      <c r="O161" s="57">
        <v>0</v>
      </c>
      <c r="P161" s="61">
        <f t="shared" si="156"/>
        <v>2</v>
      </c>
      <c r="Q161" s="40">
        <f t="shared" si="163"/>
        <v>0</v>
      </c>
      <c r="R161" s="40">
        <f t="shared" si="164"/>
        <v>0</v>
      </c>
      <c r="S161" s="44">
        <f t="shared" si="165"/>
        <v>3030.1479622626307</v>
      </c>
      <c r="T161" s="35">
        <f t="shared" si="166"/>
        <v>2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1630.0667042270534</v>
      </c>
      <c r="V161" s="57">
        <v>0</v>
      </c>
      <c r="W161" s="57">
        <v>0</v>
      </c>
      <c r="X161" s="61">
        <f t="shared" si="157"/>
        <v>2</v>
      </c>
      <c r="Y161" s="40">
        <f t="shared" si="167"/>
        <v>0</v>
      </c>
      <c r="Z161" s="40">
        <f t="shared" si="168"/>
        <v>0</v>
      </c>
      <c r="AA161" s="44">
        <f t="shared" si="169"/>
        <v>3260.1334084541068</v>
      </c>
      <c r="AB161" s="35">
        <f t="shared" si="170"/>
        <v>2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1752.1327530569235</v>
      </c>
      <c r="AD161" s="57">
        <v>0</v>
      </c>
      <c r="AE161" s="57">
        <v>0</v>
      </c>
      <c r="AF161" s="61">
        <f t="shared" si="158"/>
        <v>2</v>
      </c>
      <c r="AG161" s="40">
        <f t="shared" si="171"/>
        <v>0</v>
      </c>
      <c r="AH161" s="40">
        <f t="shared" si="172"/>
        <v>0</v>
      </c>
      <c r="AI161" s="44">
        <f t="shared" si="173"/>
        <v>3504.2655061138471</v>
      </c>
      <c r="AJ161" s="35">
        <f t="shared" si="159"/>
        <v>2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1879.7827794519692</v>
      </c>
      <c r="AL161" s="57">
        <v>0</v>
      </c>
      <c r="AM161" s="57">
        <v>0</v>
      </c>
      <c r="AN161" s="61">
        <f t="shared" si="160"/>
        <v>2</v>
      </c>
      <c r="AO161" s="40">
        <f t="shared" si="174"/>
        <v>0</v>
      </c>
      <c r="AP161" s="40">
        <f t="shared" si="175"/>
        <v>0</v>
      </c>
      <c r="AQ161" s="44">
        <f t="shared" si="176"/>
        <v>3759.5655589039384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1559.3646299999998</v>
      </c>
      <c r="H162" s="35">
        <f t="shared" si="161"/>
        <v>1559.3646299999998</v>
      </c>
      <c r="I162" s="187">
        <v>1</v>
      </c>
      <c r="J162" s="212">
        <v>1604</v>
      </c>
      <c r="K162" s="217">
        <f t="shared" si="162"/>
        <v>1604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1681.4546531846004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1681.4546531846004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1808.7206570692786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1808.7206570692786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1943.783685319326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1943.783685319326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2084.9872037265068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2084.9872037265068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756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>
        <v>5</v>
      </c>
      <c r="J165" s="212">
        <v>233</v>
      </c>
      <c r="K165" s="217">
        <f t="shared" si="162"/>
        <v>46.6</v>
      </c>
      <c r="L165" s="34">
        <f t="shared" si="155"/>
        <v>5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48.137799999999999</v>
      </c>
      <c r="N165" s="57">
        <v>0</v>
      </c>
      <c r="O165" s="57">
        <v>5</v>
      </c>
      <c r="P165" s="61">
        <f t="shared" si="156"/>
        <v>0</v>
      </c>
      <c r="Q165" s="40">
        <f t="shared" si="163"/>
        <v>0</v>
      </c>
      <c r="R165" s="40">
        <f t="shared" si="164"/>
        <v>-240.68899999999999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51.026068000000002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54.036606012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57.116692554683993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125</v>
      </c>
      <c r="G168" s="41">
        <f>SUM(G148:G167)</f>
        <v>52346.129709999994</v>
      </c>
      <c r="H168" s="41">
        <f>IFERROR(G168/F168,0)</f>
        <v>418.76903767999994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125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48113</v>
      </c>
      <c r="K168" s="41">
        <f>IFERROR(J168/I168,"")</f>
        <v>384.904</v>
      </c>
      <c r="L168" s="41">
        <f>SUM(L148:L167)</f>
        <v>125</v>
      </c>
      <c r="M168" s="41">
        <f>IFERROR(S168/P168,0)</f>
        <v>445.59991754132375</v>
      </c>
      <c r="N168" s="41">
        <f t="shared" ref="N168:T168" si="177">SUM(N148:N167)</f>
        <v>5</v>
      </c>
      <c r="O168" s="41">
        <f t="shared" si="177"/>
        <v>9</v>
      </c>
      <c r="P168" s="41">
        <f t="shared" si="177"/>
        <v>121</v>
      </c>
      <c r="Q168" s="41">
        <f t="shared" si="177"/>
        <v>3094.9520713911634</v>
      </c>
      <c r="R168" s="41">
        <f t="shared" si="177"/>
        <v>-1063.7836517921944</v>
      </c>
      <c r="S168" s="45">
        <f t="shared" si="177"/>
        <v>53917.590022500175</v>
      </c>
      <c r="T168" s="41">
        <f t="shared" si="177"/>
        <v>121</v>
      </c>
      <c r="U168" s="41">
        <f>IFERROR(AA168/X168,0)</f>
        <v>501.40590833579199</v>
      </c>
      <c r="V168" s="41">
        <f t="shared" ref="V168:AB168" si="178">SUM(V148:V167)</f>
        <v>0</v>
      </c>
      <c r="W168" s="41">
        <f t="shared" si="178"/>
        <v>15</v>
      </c>
      <c r="X168" s="41">
        <f t="shared" si="178"/>
        <v>106</v>
      </c>
      <c r="Y168" s="41">
        <f t="shared" si="178"/>
        <v>0</v>
      </c>
      <c r="Z168" s="41">
        <f t="shared" si="178"/>
        <v>-5221.5757550218486</v>
      </c>
      <c r="AA168" s="45">
        <f t="shared" si="178"/>
        <v>53149.02628359395</v>
      </c>
      <c r="AB168" s="41">
        <f t="shared" si="178"/>
        <v>106</v>
      </c>
      <c r="AC168" s="41">
        <f>IFERROR(AI168/AF168,0)</f>
        <v>538.49739093511209</v>
      </c>
      <c r="AD168" s="41">
        <f t="shared" ref="AD168:AJ168" si="179">SUM(AD148:AD167)</f>
        <v>1</v>
      </c>
      <c r="AE168" s="41">
        <f t="shared" si="179"/>
        <v>0</v>
      </c>
      <c r="AF168" s="41">
        <f t="shared" si="179"/>
        <v>107</v>
      </c>
      <c r="AG168" s="41">
        <f t="shared" si="179"/>
        <v>129.37430282346281</v>
      </c>
      <c r="AH168" s="41">
        <f t="shared" si="179"/>
        <v>0</v>
      </c>
      <c r="AI168" s="45">
        <f t="shared" si="179"/>
        <v>57619.220830056991</v>
      </c>
      <c r="AJ168" s="41">
        <f t="shared" si="179"/>
        <v>107</v>
      </c>
      <c r="AK168" s="41">
        <f>IFERROR(AQ168/AN168,0)</f>
        <v>585.89624776779408</v>
      </c>
      <c r="AL168" s="41">
        <f t="shared" ref="AL168:AQ168" si="180">SUM(AL148:AL167)</f>
        <v>1</v>
      </c>
      <c r="AM168" s="41">
        <f t="shared" si="180"/>
        <v>1</v>
      </c>
      <c r="AN168" s="41">
        <f t="shared" si="180"/>
        <v>107</v>
      </c>
      <c r="AO168" s="41">
        <f t="shared" si="180"/>
        <v>728.71807899004011</v>
      </c>
      <c r="AP168" s="41">
        <f t="shared" si="180"/>
        <v>-247.15656185318286</v>
      </c>
      <c r="AQ168" s="45">
        <f t="shared" si="180"/>
        <v>62690.898511153966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53374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52544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56988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61319.088000000003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-543.59002250017511</v>
      </c>
      <c r="T170" s="39"/>
      <c r="U170" s="39"/>
      <c r="V170" s="53"/>
      <c r="W170" s="53"/>
      <c r="X170" s="110"/>
      <c r="Y170" s="39"/>
      <c r="Z170" s="39"/>
      <c r="AA170" s="54">
        <f>AA169-AA168</f>
        <v>-605.02628359395021</v>
      </c>
      <c r="AB170" s="39"/>
      <c r="AC170" s="53"/>
      <c r="AD170" s="53"/>
      <c r="AE170" s="110"/>
      <c r="AF170" s="39"/>
      <c r="AG170" s="39"/>
      <c r="AH170" s="39"/>
      <c r="AI170" s="54">
        <f>AI169-AI168</f>
        <v>-631.22083005699096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-1371.8105111539626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CRv/h2RZL1J0udRtvQE5qb0FvDBaByRROCz6GikdtEtnelZEy5vyx7aUpzEM03WcgOlU59KoQgoyF6xc3f1LwQ==" saltValue="T9Qi+K4TJ5oWx5Z0fd6+dg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Arts And Culture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37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42671.5155900463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NAT_HRBP__42671.5155900462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HRBP-Vote37.xlsx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df7ca258-5e24-45de-bd31-dbc76bc6765a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2016-10-28T10:23:19Z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